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/>
  <mc:AlternateContent xmlns:mc="http://schemas.openxmlformats.org/markup-compatibility/2006">
    <mc:Choice Requires="x15">
      <x15ac:absPath xmlns:x15ac="http://schemas.microsoft.com/office/spreadsheetml/2010/11/ac" url="C:\Users\sanderson\Downloads\"/>
    </mc:Choice>
  </mc:AlternateContent>
  <xr:revisionPtr revIDLastSave="0" documentId="8_{F0AB41B6-81FF-44E4-96C5-DB675E1C8D5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nswer Detail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30" i="2" l="1"/>
  <c r="C729" i="2"/>
  <c r="C728" i="2"/>
  <c r="C727" i="2"/>
  <c r="C726" i="2"/>
  <c r="C725" i="2"/>
  <c r="C724" i="2"/>
  <c r="C723" i="2"/>
  <c r="C722" i="2"/>
  <c r="C721" i="2"/>
  <c r="C720" i="2"/>
  <c r="C719" i="2"/>
  <c r="C718" i="2"/>
  <c r="C717" i="2"/>
  <c r="C716" i="2"/>
  <c r="C715" i="2"/>
  <c r="C714" i="2"/>
  <c r="C713" i="2"/>
  <c r="C712" i="2"/>
  <c r="C711" i="2"/>
  <c r="C710" i="2"/>
  <c r="C709" i="2"/>
  <c r="C708" i="2"/>
  <c r="C707" i="2"/>
  <c r="C706" i="2"/>
  <c r="C705" i="2"/>
  <c r="C704" i="2"/>
  <c r="C703" i="2"/>
  <c r="C702" i="2"/>
  <c r="C701" i="2"/>
  <c r="C700" i="2"/>
  <c r="C699" i="2"/>
  <c r="C698" i="2"/>
  <c r="C697" i="2"/>
  <c r="C696" i="2"/>
  <c r="C695" i="2"/>
  <c r="C694" i="2"/>
  <c r="C693" i="2"/>
  <c r="C692" i="2"/>
  <c r="C691" i="2"/>
  <c r="C690" i="2"/>
  <c r="C689" i="2"/>
  <c r="C688" i="2"/>
  <c r="C687" i="2"/>
  <c r="C686" i="2"/>
  <c r="C685" i="2"/>
  <c r="C684" i="2"/>
  <c r="C683" i="2"/>
  <c r="C682" i="2"/>
  <c r="C681" i="2"/>
  <c r="C680" i="2"/>
  <c r="C679" i="2"/>
  <c r="C678" i="2"/>
  <c r="C677" i="2"/>
  <c r="C676" i="2"/>
  <c r="C675" i="2"/>
  <c r="C674" i="2"/>
  <c r="C673" i="2"/>
  <c r="C672" i="2"/>
  <c r="C671" i="2"/>
  <c r="C670" i="2"/>
  <c r="C669" i="2"/>
  <c r="C668" i="2"/>
  <c r="C667" i="2"/>
  <c r="C666" i="2"/>
  <c r="C665" i="2"/>
  <c r="C664" i="2"/>
  <c r="C663" i="2"/>
  <c r="C662" i="2"/>
  <c r="C661" i="2"/>
  <c r="C660" i="2"/>
  <c r="C659" i="2"/>
  <c r="C658" i="2"/>
  <c r="C657" i="2"/>
  <c r="C656" i="2"/>
  <c r="C655" i="2"/>
  <c r="C654" i="2"/>
  <c r="C653" i="2"/>
  <c r="C652" i="2"/>
  <c r="C651" i="2"/>
  <c r="C650" i="2"/>
  <c r="C649" i="2"/>
  <c r="C648" i="2"/>
  <c r="C647" i="2"/>
  <c r="C646" i="2"/>
  <c r="C645" i="2"/>
  <c r="C644" i="2"/>
  <c r="C643" i="2"/>
  <c r="C642" i="2"/>
  <c r="C641" i="2"/>
  <c r="C640" i="2"/>
  <c r="C639" i="2"/>
  <c r="C638" i="2"/>
  <c r="C637" i="2"/>
  <c r="C636" i="2"/>
  <c r="C635" i="2"/>
  <c r="C634" i="2"/>
  <c r="C633" i="2"/>
  <c r="C632" i="2"/>
  <c r="C631" i="2"/>
  <c r="C630" i="2"/>
  <c r="C629" i="2"/>
  <c r="C628" i="2"/>
  <c r="C627" i="2"/>
  <c r="C626" i="2"/>
  <c r="C625" i="2"/>
  <c r="C624" i="2"/>
  <c r="C623" i="2"/>
  <c r="C622" i="2"/>
  <c r="C621" i="2"/>
  <c r="C620" i="2"/>
  <c r="C619" i="2"/>
  <c r="C618" i="2"/>
  <c r="C617" i="2"/>
  <c r="C616" i="2"/>
  <c r="C615" i="2"/>
  <c r="C614" i="2"/>
  <c r="C613" i="2"/>
  <c r="C612" i="2"/>
  <c r="C611" i="2"/>
  <c r="C610" i="2"/>
  <c r="C609" i="2"/>
  <c r="C608" i="2"/>
  <c r="C607" i="2"/>
  <c r="C606" i="2"/>
  <c r="C605" i="2"/>
  <c r="C604" i="2"/>
  <c r="C603" i="2"/>
  <c r="C602" i="2"/>
  <c r="C601" i="2"/>
  <c r="C600" i="2"/>
  <c r="C599" i="2"/>
  <c r="C598" i="2"/>
  <c r="C597" i="2"/>
  <c r="C596" i="2"/>
  <c r="C595" i="2"/>
  <c r="C594" i="2"/>
  <c r="C593" i="2"/>
  <c r="C592" i="2"/>
  <c r="C591" i="2"/>
  <c r="C590" i="2"/>
  <c r="C589" i="2"/>
  <c r="C588" i="2"/>
  <c r="C587" i="2"/>
  <c r="C586" i="2"/>
  <c r="C585" i="2"/>
  <c r="C584" i="2"/>
  <c r="C583" i="2"/>
  <c r="C582" i="2"/>
  <c r="C581" i="2"/>
  <c r="C580" i="2"/>
  <c r="C579" i="2"/>
  <c r="C578" i="2"/>
  <c r="C577" i="2"/>
  <c r="C576" i="2"/>
  <c r="C575" i="2"/>
  <c r="C574" i="2"/>
  <c r="C573" i="2"/>
  <c r="C572" i="2"/>
  <c r="C571" i="2"/>
  <c r="C570" i="2"/>
  <c r="C569" i="2"/>
  <c r="C568" i="2"/>
  <c r="C567" i="2"/>
  <c r="C566" i="2"/>
  <c r="C565" i="2"/>
  <c r="C564" i="2"/>
  <c r="C563" i="2"/>
  <c r="C562" i="2"/>
  <c r="C561" i="2"/>
  <c r="C560" i="2"/>
  <c r="C559" i="2"/>
  <c r="C558" i="2"/>
  <c r="C557" i="2"/>
  <c r="C556" i="2"/>
  <c r="C555" i="2"/>
  <c r="C554" i="2"/>
  <c r="C553" i="2"/>
  <c r="C552" i="2"/>
  <c r="C551" i="2"/>
  <c r="C550" i="2"/>
  <c r="C549" i="2"/>
  <c r="C548" i="2"/>
  <c r="C547" i="2"/>
  <c r="C546" i="2"/>
  <c r="C545" i="2"/>
  <c r="C544" i="2"/>
  <c r="C543" i="2"/>
  <c r="C542" i="2"/>
  <c r="C541" i="2"/>
  <c r="C540" i="2"/>
  <c r="C539" i="2"/>
  <c r="C538" i="2"/>
  <c r="C537" i="2"/>
  <c r="C536" i="2"/>
  <c r="C535" i="2"/>
  <c r="C534" i="2"/>
  <c r="C533" i="2"/>
  <c r="C532" i="2"/>
  <c r="C531" i="2"/>
  <c r="C530" i="2"/>
  <c r="C529" i="2"/>
  <c r="C528" i="2"/>
  <c r="C527" i="2"/>
  <c r="C526" i="2"/>
  <c r="C525" i="2"/>
  <c r="C524" i="2"/>
  <c r="C523" i="2"/>
  <c r="C522" i="2"/>
  <c r="C521" i="2"/>
  <c r="C520" i="2"/>
  <c r="C519" i="2"/>
  <c r="C518" i="2"/>
  <c r="C517" i="2"/>
  <c r="C516" i="2"/>
  <c r="C515" i="2"/>
  <c r="C514" i="2"/>
  <c r="C513" i="2"/>
  <c r="C512" i="2"/>
  <c r="C511" i="2"/>
  <c r="C510" i="2"/>
  <c r="C509" i="2"/>
  <c r="C508" i="2"/>
  <c r="C507" i="2"/>
  <c r="C506" i="2"/>
  <c r="C505" i="2"/>
  <c r="C504" i="2"/>
  <c r="C503" i="2"/>
  <c r="C502" i="2"/>
  <c r="C501" i="2"/>
  <c r="C500" i="2"/>
  <c r="C499" i="2"/>
  <c r="C498" i="2"/>
  <c r="C497" i="2"/>
  <c r="C496" i="2"/>
  <c r="C495" i="2"/>
  <c r="C494" i="2"/>
  <c r="C493" i="2"/>
  <c r="C492" i="2"/>
  <c r="C491" i="2"/>
  <c r="C490" i="2"/>
  <c r="C489" i="2"/>
  <c r="C488" i="2"/>
  <c r="C487" i="2"/>
  <c r="C486" i="2"/>
  <c r="C485" i="2"/>
  <c r="C484" i="2"/>
  <c r="C483" i="2"/>
  <c r="C482" i="2"/>
  <c r="C481" i="2"/>
  <c r="C480" i="2"/>
  <c r="C479" i="2"/>
  <c r="C478" i="2"/>
  <c r="C477" i="2"/>
  <c r="C476" i="2"/>
  <c r="C475" i="2"/>
  <c r="C474" i="2"/>
  <c r="C473" i="2"/>
  <c r="C472" i="2"/>
  <c r="C471" i="2"/>
  <c r="C470" i="2"/>
  <c r="C469" i="2"/>
  <c r="C468" i="2"/>
  <c r="C467" i="2"/>
  <c r="C466" i="2"/>
  <c r="C465" i="2"/>
  <c r="C464" i="2"/>
  <c r="C463" i="2"/>
  <c r="C462" i="2"/>
  <c r="C461" i="2"/>
  <c r="C460" i="2"/>
  <c r="C459" i="2"/>
  <c r="C458" i="2"/>
  <c r="C457" i="2"/>
  <c r="C456" i="2"/>
  <c r="C455" i="2"/>
  <c r="C454" i="2"/>
  <c r="C453" i="2"/>
  <c r="C452" i="2"/>
  <c r="C451" i="2"/>
  <c r="C450" i="2"/>
  <c r="C449" i="2"/>
  <c r="C448" i="2"/>
  <c r="C447" i="2"/>
  <c r="C446" i="2"/>
  <c r="C445" i="2"/>
  <c r="C444" i="2"/>
  <c r="C443" i="2"/>
  <c r="C442" i="2"/>
  <c r="C441" i="2"/>
  <c r="C440" i="2"/>
  <c r="C439" i="2"/>
  <c r="C438" i="2"/>
  <c r="C437" i="2"/>
  <c r="C436" i="2"/>
  <c r="C435" i="2"/>
  <c r="C434" i="2"/>
  <c r="C433" i="2"/>
  <c r="C432" i="2"/>
  <c r="C431" i="2"/>
  <c r="C430" i="2"/>
  <c r="C429" i="2"/>
  <c r="C428" i="2"/>
  <c r="C427" i="2"/>
  <c r="C426" i="2"/>
  <c r="C425" i="2"/>
  <c r="C424" i="2"/>
  <c r="C423" i="2"/>
  <c r="C422" i="2"/>
  <c r="C421" i="2"/>
  <c r="C420" i="2"/>
  <c r="C419" i="2"/>
  <c r="C418" i="2"/>
  <c r="C417" i="2"/>
  <c r="C416" i="2"/>
  <c r="C415" i="2"/>
  <c r="C414" i="2"/>
  <c r="C413" i="2"/>
  <c r="C412" i="2"/>
  <c r="C411" i="2"/>
  <c r="C410" i="2"/>
  <c r="C409" i="2"/>
  <c r="C408" i="2"/>
  <c r="C407" i="2"/>
  <c r="C406" i="2"/>
  <c r="C405" i="2"/>
  <c r="C404" i="2"/>
  <c r="C403" i="2"/>
  <c r="C402" i="2"/>
  <c r="C401" i="2"/>
  <c r="C400" i="2"/>
  <c r="C399" i="2"/>
  <c r="C398" i="2"/>
  <c r="C397" i="2"/>
  <c r="C396" i="2"/>
  <c r="C395" i="2"/>
  <c r="C394" i="2"/>
  <c r="C393" i="2"/>
  <c r="C392" i="2"/>
  <c r="C391" i="2"/>
  <c r="C390" i="2"/>
  <c r="C389" i="2"/>
  <c r="C388" i="2"/>
  <c r="C387" i="2"/>
  <c r="C386" i="2"/>
  <c r="C385" i="2"/>
  <c r="C384" i="2"/>
  <c r="C383" i="2"/>
  <c r="C382" i="2"/>
  <c r="C381" i="2"/>
  <c r="C380" i="2"/>
  <c r="C379" i="2"/>
  <c r="C378" i="2"/>
  <c r="C377" i="2"/>
  <c r="C376" i="2"/>
  <c r="C375" i="2"/>
  <c r="C374" i="2"/>
  <c r="C373" i="2"/>
  <c r="C372" i="2"/>
  <c r="C371" i="2"/>
  <c r="C370" i="2"/>
  <c r="C369" i="2"/>
  <c r="C368" i="2"/>
  <c r="C367" i="2"/>
  <c r="C366" i="2"/>
  <c r="C365" i="2"/>
  <c r="C364" i="2"/>
  <c r="C363" i="2"/>
  <c r="C362" i="2"/>
  <c r="C361" i="2"/>
  <c r="C360" i="2"/>
  <c r="C359" i="2"/>
  <c r="C358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6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2" i="2"/>
</calcChain>
</file>

<file path=xl/sharedStrings.xml><?xml version="1.0" encoding="utf-8"?>
<sst xmlns="http://schemas.openxmlformats.org/spreadsheetml/2006/main" count="3651" uniqueCount="1199">
  <si>
    <t>Daniel</t>
  </si>
  <si>
    <t>Bucci</t>
  </si>
  <si>
    <t>Region 3</t>
  </si>
  <si>
    <t>Western Pennsylvania Chapter</t>
  </si>
  <si>
    <t>Director (voting)</t>
  </si>
  <si>
    <t>Ryan</t>
  </si>
  <si>
    <t>McGinnis</t>
  </si>
  <si>
    <t>Region 2</t>
  </si>
  <si>
    <t>Rochester Regional Chapter</t>
  </si>
  <si>
    <t>Debralee</t>
  </si>
  <si>
    <t>Dorain</t>
  </si>
  <si>
    <t>Region 1</t>
  </si>
  <si>
    <t>Northern New England Chapter</t>
  </si>
  <si>
    <t>Greg</t>
  </si>
  <si>
    <t>Knight</t>
  </si>
  <si>
    <t>Frank</t>
  </si>
  <si>
    <t>Cashman</t>
  </si>
  <si>
    <t>Region 6</t>
  </si>
  <si>
    <t>Northwest Ohio Chapter</t>
  </si>
  <si>
    <t>Treasurer</t>
  </si>
  <si>
    <t>Rachel</t>
  </si>
  <si>
    <t>Hawley</t>
  </si>
  <si>
    <t>Region 10</t>
  </si>
  <si>
    <t>Colorado Chapter</t>
  </si>
  <si>
    <t>Other</t>
  </si>
  <si>
    <t>John</t>
  </si>
  <si>
    <t>Ziegler</t>
  </si>
  <si>
    <t>Central Ohio Chapter</t>
  </si>
  <si>
    <t>Megan</t>
  </si>
  <si>
    <t>Warren</t>
  </si>
  <si>
    <t>Girish</t>
  </si>
  <si>
    <t>Dighe</t>
  </si>
  <si>
    <t>Christine</t>
  </si>
  <si>
    <t>Aucreman</t>
  </si>
  <si>
    <t>Marcos</t>
  </si>
  <si>
    <t>Bonafede</t>
  </si>
  <si>
    <t>Missy</t>
  </si>
  <si>
    <t>Fleeman</t>
  </si>
  <si>
    <t>Jeff</t>
  </si>
  <si>
    <t>Kelly</t>
  </si>
  <si>
    <t>David</t>
  </si>
  <si>
    <t>Nwangwu</t>
  </si>
  <si>
    <t>Brandon</t>
  </si>
  <si>
    <t>Eggleston</t>
  </si>
  <si>
    <t>Arizona Chapter</t>
  </si>
  <si>
    <t>Sponsorship Chair</t>
  </si>
  <si>
    <t>Vanessa</t>
  </si>
  <si>
    <t>Couch-Laguana</t>
  </si>
  <si>
    <t>Region 11</t>
  </si>
  <si>
    <t>Nevada Chapter</t>
  </si>
  <si>
    <t>RE 2</t>
  </si>
  <si>
    <t>Von</t>
  </si>
  <si>
    <t>Evans</t>
  </si>
  <si>
    <t>Northern California Chapter</t>
  </si>
  <si>
    <t>Jennifer</t>
  </si>
  <si>
    <t>Graves</t>
  </si>
  <si>
    <t>Metropolitan New York Chapter</t>
  </si>
  <si>
    <t>Communications/Social Media Chair</t>
  </si>
  <si>
    <t>Cheryl</t>
  </si>
  <si>
    <t>Perry</t>
  </si>
  <si>
    <t>Region 9</t>
  </si>
  <si>
    <t>Oklahoma Chapter</t>
  </si>
  <si>
    <t>Matthew</t>
  </si>
  <si>
    <t>Rakay</t>
  </si>
  <si>
    <t>RYAN</t>
  </si>
  <si>
    <t>THOMPSON</t>
  </si>
  <si>
    <t>Past President</t>
  </si>
  <si>
    <t>Chris</t>
  </si>
  <si>
    <t>Coccimiglio</t>
  </si>
  <si>
    <t>Utah Chapter</t>
  </si>
  <si>
    <t>Darah</t>
  </si>
  <si>
    <t>Isaacson</t>
  </si>
  <si>
    <t>Region 8</t>
  </si>
  <si>
    <t>Sunflower (Kansas) Chapter</t>
  </si>
  <si>
    <t>Robert</t>
  </si>
  <si>
    <t>Kiesecker</t>
  </si>
  <si>
    <t>Membership Chair</t>
  </si>
  <si>
    <t>Shannon</t>
  </si>
  <si>
    <t>King</t>
  </si>
  <si>
    <t>April</t>
  </si>
  <si>
    <t>Lynch</t>
  </si>
  <si>
    <t>Antoinette</t>
  </si>
  <si>
    <t>Washington</t>
  </si>
  <si>
    <t>Lone Star Chapter</t>
  </si>
  <si>
    <t>Secretary</t>
  </si>
  <si>
    <t>Michelle</t>
  </si>
  <si>
    <t>Whitehead</t>
  </si>
  <si>
    <t>Region 5</t>
  </si>
  <si>
    <t>Georgia Chapter</t>
  </si>
  <si>
    <t>Clayton</t>
  </si>
  <si>
    <t>Region 7</t>
  </si>
  <si>
    <t>Indiana Pressler Memorial Chapter</t>
  </si>
  <si>
    <t>Networking Chair</t>
  </si>
  <si>
    <t>Jason</t>
  </si>
  <si>
    <t>Welch</t>
  </si>
  <si>
    <t>Hugh</t>
  </si>
  <si>
    <t>Chisholm</t>
  </si>
  <si>
    <t>Thaddeus</t>
  </si>
  <si>
    <t>Pyfrom</t>
  </si>
  <si>
    <t>Jaime</t>
  </si>
  <si>
    <t>Lovullo</t>
  </si>
  <si>
    <t>Melodie</t>
  </si>
  <si>
    <t>Colwell</t>
  </si>
  <si>
    <t>Arkansas Chapter</t>
  </si>
  <si>
    <t>Jonathan</t>
  </si>
  <si>
    <t>Miller</t>
  </si>
  <si>
    <t>jennison</t>
  </si>
  <si>
    <t>bielemeier</t>
  </si>
  <si>
    <t>Andrew</t>
  </si>
  <si>
    <t>Hastings</t>
  </si>
  <si>
    <t>Allison</t>
  </si>
  <si>
    <t>Williams</t>
  </si>
  <si>
    <t>Program Co-Chair</t>
  </si>
  <si>
    <t>Blake</t>
  </si>
  <si>
    <t>Fulenwider</t>
  </si>
  <si>
    <t>Catherine</t>
  </si>
  <si>
    <t>Price</t>
  </si>
  <si>
    <t>Region 4</t>
  </si>
  <si>
    <t>Virginia-Washington DC Chapter</t>
  </si>
  <si>
    <t>Assistant Treasurer</t>
  </si>
  <si>
    <t>Lauren</t>
  </si>
  <si>
    <t>Stroup</t>
  </si>
  <si>
    <t>Cristen</t>
  </si>
  <si>
    <t>Simkonis</t>
  </si>
  <si>
    <t>Northeastern Pennsylvania Chapter</t>
  </si>
  <si>
    <t>Maria</t>
  </si>
  <si>
    <t>Zambrano</t>
  </si>
  <si>
    <t>San Diego-Imperial Chapter</t>
  </si>
  <si>
    <t>Nicholas</t>
  </si>
  <si>
    <t>Rivera</t>
  </si>
  <si>
    <t>Vice President</t>
  </si>
  <si>
    <t>Michele</t>
  </si>
  <si>
    <t>McGowan</t>
  </si>
  <si>
    <t>Donja</t>
  </si>
  <si>
    <t>Erdman</t>
  </si>
  <si>
    <t>Idaho Chapter</t>
  </si>
  <si>
    <t>Jacklyn</t>
  </si>
  <si>
    <t>Glenn</t>
  </si>
  <si>
    <t>South Carolina Chapter</t>
  </si>
  <si>
    <t>AURORA</t>
  </si>
  <si>
    <t>HERRERA</t>
  </si>
  <si>
    <t>Certification Chair</t>
  </si>
  <si>
    <t>Sofía</t>
  </si>
  <si>
    <t>Adaime Martínez</t>
  </si>
  <si>
    <t>Puerto Rico Chapter</t>
  </si>
  <si>
    <t>Iris</t>
  </si>
  <si>
    <t>Otero</t>
  </si>
  <si>
    <t>Nicole</t>
  </si>
  <si>
    <t>Copeland</t>
  </si>
  <si>
    <t>Maryland Chapter</t>
  </si>
  <si>
    <t>SAMER</t>
  </si>
  <si>
    <t>OWEIS</t>
  </si>
  <si>
    <t>Alyson</t>
  </si>
  <si>
    <t>Belz</t>
  </si>
  <si>
    <t>President</t>
  </si>
  <si>
    <t>Becky</t>
  </si>
  <si>
    <t>Greenfield</t>
  </si>
  <si>
    <t>Empire New York</t>
  </si>
  <si>
    <t>Moscatelli</t>
  </si>
  <si>
    <t>Program Chair</t>
  </si>
  <si>
    <t>Bob</t>
  </si>
  <si>
    <t>Arnold</t>
  </si>
  <si>
    <t>Gary</t>
  </si>
  <si>
    <t>Feder</t>
  </si>
  <si>
    <t>Stephanie</t>
  </si>
  <si>
    <t>Gerez</t>
  </si>
  <si>
    <t>LaDarrion</t>
  </si>
  <si>
    <t>Grant</t>
  </si>
  <si>
    <t>Mississippi Chapter</t>
  </si>
  <si>
    <t>Cindy</t>
  </si>
  <si>
    <t>Pizarro</t>
  </si>
  <si>
    <t>Coral</t>
  </si>
  <si>
    <t>President Elect</t>
  </si>
  <si>
    <t>Amanda</t>
  </si>
  <si>
    <t>de los Reyes</t>
  </si>
  <si>
    <t>Oregon Chapter</t>
  </si>
  <si>
    <t>Purcell</t>
  </si>
  <si>
    <t>PERLA</t>
  </si>
  <si>
    <t>PACE</t>
  </si>
  <si>
    <t>Tonya</t>
  </si>
  <si>
    <t>Richardson</t>
  </si>
  <si>
    <t>Thad</t>
  </si>
  <si>
    <t>Turner</t>
  </si>
  <si>
    <t>Membership Co-Chair</t>
  </si>
  <si>
    <t>Julio</t>
  </si>
  <si>
    <t>Colon</t>
  </si>
  <si>
    <t>Carlos J</t>
  </si>
  <si>
    <t>Fuentes Lopez</t>
  </si>
  <si>
    <t>Mayra L</t>
  </si>
  <si>
    <t>Torrres</t>
  </si>
  <si>
    <t>Rosemary</t>
  </si>
  <si>
    <t>De La Cruz</t>
  </si>
  <si>
    <t>Keri</t>
  </si>
  <si>
    <t>Danielle</t>
  </si>
  <si>
    <t>Sadrack</t>
  </si>
  <si>
    <t>Lymari</t>
  </si>
  <si>
    <t>Heather</t>
  </si>
  <si>
    <t>Stanisci</t>
  </si>
  <si>
    <t>New Jersey Chapter</t>
  </si>
  <si>
    <t>RE 3</t>
  </si>
  <si>
    <t>Arístides</t>
  </si>
  <si>
    <t>Castro Piñeiro</t>
  </si>
  <si>
    <t>Henry</t>
  </si>
  <si>
    <t>Flores</t>
  </si>
  <si>
    <t>Juan</t>
  </si>
  <si>
    <t>Rosario</t>
  </si>
  <si>
    <t>Sandy</t>
  </si>
  <si>
    <t>Decker</t>
  </si>
  <si>
    <t>Leah</t>
  </si>
  <si>
    <t>Amante</t>
  </si>
  <si>
    <t>Dirk</t>
  </si>
  <si>
    <t>Bunker</t>
  </si>
  <si>
    <t>Margaret</t>
  </si>
  <si>
    <t>Lally</t>
  </si>
  <si>
    <t>Sylvia</t>
  </si>
  <si>
    <t>Thompson</t>
  </si>
  <si>
    <t>Miksch</t>
  </si>
  <si>
    <t>LeeAnn</t>
  </si>
  <si>
    <t>Betzer</t>
  </si>
  <si>
    <t>Richard</t>
  </si>
  <si>
    <t>Nagy</t>
  </si>
  <si>
    <t>Heidi</t>
  </si>
  <si>
    <t>Bentzh</t>
  </si>
  <si>
    <t>South Dakota Chapter</t>
  </si>
  <si>
    <t>Jessica</t>
  </si>
  <si>
    <t>Elsberry</t>
  </si>
  <si>
    <t>Justin</t>
  </si>
  <si>
    <t>Stroud</t>
  </si>
  <si>
    <t>Kevin</t>
  </si>
  <si>
    <t>Dadey</t>
  </si>
  <si>
    <t>Grulke</t>
  </si>
  <si>
    <t>Wisconsin Chapter</t>
  </si>
  <si>
    <t>Adam</t>
  </si>
  <si>
    <t>Smith</t>
  </si>
  <si>
    <t>Karen</t>
  </si>
  <si>
    <t>Todd</t>
  </si>
  <si>
    <t>Nick</t>
  </si>
  <si>
    <t>Barbera</t>
  </si>
  <si>
    <t>Central Pennsylvania Chapter</t>
  </si>
  <si>
    <t>Violeta</t>
  </si>
  <si>
    <t>Aguirre</t>
  </si>
  <si>
    <t>Teresa</t>
  </si>
  <si>
    <t>Bailey</t>
  </si>
  <si>
    <t>Eric</t>
  </si>
  <si>
    <t>Pritzl</t>
  </si>
  <si>
    <t>Colleen</t>
  </si>
  <si>
    <t>Nolan</t>
  </si>
  <si>
    <t>Jayme</t>
  </si>
  <si>
    <t>Cramer</t>
  </si>
  <si>
    <t>Danny</t>
  </si>
  <si>
    <t>Schmidt</t>
  </si>
  <si>
    <t>Leslie</t>
  </si>
  <si>
    <t>Claas</t>
  </si>
  <si>
    <t>Jacob</t>
  </si>
  <si>
    <t>Rouse</t>
  </si>
  <si>
    <t>test</t>
  </si>
  <si>
    <t>Alece</t>
  </si>
  <si>
    <t>Hon</t>
  </si>
  <si>
    <t>Kellie</t>
  </si>
  <si>
    <t>Hooper</t>
  </si>
  <si>
    <t>Debbie</t>
  </si>
  <si>
    <t>G</t>
  </si>
  <si>
    <t>Venard</t>
  </si>
  <si>
    <t>Committee Chair</t>
  </si>
  <si>
    <t>Geneva</t>
  </si>
  <si>
    <t>Stewart</t>
  </si>
  <si>
    <t>Ramona</t>
  </si>
  <si>
    <t>Hernandez</t>
  </si>
  <si>
    <t>Abreu</t>
  </si>
  <si>
    <t>Mike</t>
  </si>
  <si>
    <t>Lorenz</t>
  </si>
  <si>
    <t>Angela</t>
  </si>
  <si>
    <t>Spaans</t>
  </si>
  <si>
    <t>Antonio</t>
  </si>
  <si>
    <t>Fonseca</t>
  </si>
  <si>
    <t>Michael</t>
  </si>
  <si>
    <t>Allen</t>
  </si>
  <si>
    <t>Eriko</t>
  </si>
  <si>
    <t>Martian</t>
  </si>
  <si>
    <t>Scott</t>
  </si>
  <si>
    <t>Blair</t>
  </si>
  <si>
    <t>Bill</t>
  </si>
  <si>
    <t>Shrum</t>
  </si>
  <si>
    <t>Martinez-Reyes</t>
  </si>
  <si>
    <t>Darren</t>
  </si>
  <si>
    <t>Walkup</t>
  </si>
  <si>
    <t>Tyler</t>
  </si>
  <si>
    <t>Robakiewicz</t>
  </si>
  <si>
    <t>Sanjiv</t>
  </si>
  <si>
    <t>Datt</t>
  </si>
  <si>
    <t>Lisa</t>
  </si>
  <si>
    <t>Stark</t>
  </si>
  <si>
    <t>Julie</t>
  </si>
  <si>
    <t>Rojahn</t>
  </si>
  <si>
    <t>Gibbons</t>
  </si>
  <si>
    <t>Liz</t>
  </si>
  <si>
    <t>Boileau</t>
  </si>
  <si>
    <t>Roehl</t>
  </si>
  <si>
    <t>Phillip</t>
  </si>
  <si>
    <t>de Souza</t>
  </si>
  <si>
    <t>Region Unknown</t>
  </si>
  <si>
    <t>Lori</t>
  </si>
  <si>
    <t>Gutierrez</t>
  </si>
  <si>
    <t>Don</t>
  </si>
  <si>
    <t>Briones</t>
  </si>
  <si>
    <t>Stephen</t>
  </si>
  <si>
    <t>Jess</t>
  </si>
  <si>
    <t>Vogen</t>
  </si>
  <si>
    <t>Burnett</t>
  </si>
  <si>
    <t>Carter</t>
  </si>
  <si>
    <t>Matt</t>
  </si>
  <si>
    <t>McHan</t>
  </si>
  <si>
    <t>Nelya</t>
  </si>
  <si>
    <t>Shymon</t>
  </si>
  <si>
    <t>Rebecca</t>
  </si>
  <si>
    <t>Hamilton</t>
  </si>
  <si>
    <t>Christy</t>
  </si>
  <si>
    <t>Pehanich</t>
  </si>
  <si>
    <t>Regional Executive</t>
  </si>
  <si>
    <t>Joseph</t>
  </si>
  <si>
    <t>O'Connell</t>
  </si>
  <si>
    <t>Kennedy</t>
  </si>
  <si>
    <t>Derrick</t>
  </si>
  <si>
    <t>Mason</t>
  </si>
  <si>
    <t>Kalayer</t>
  </si>
  <si>
    <t>Winn</t>
  </si>
  <si>
    <t>Kimberly</t>
  </si>
  <si>
    <t>James</t>
  </si>
  <si>
    <t>Woodward</t>
  </si>
  <si>
    <t>Bullock</t>
  </si>
  <si>
    <t>Sheila</t>
  </si>
  <si>
    <t>Hojnacki</t>
  </si>
  <si>
    <t>Thomas</t>
  </si>
  <si>
    <t>Klein</t>
  </si>
  <si>
    <t>Kody</t>
  </si>
  <si>
    <t>Gann</t>
  </si>
  <si>
    <t>Texas Gulf Coast Chapter</t>
  </si>
  <si>
    <t>Johnita</t>
  </si>
  <si>
    <t>Forbes</t>
  </si>
  <si>
    <t>Taylor</t>
  </si>
  <si>
    <t>Searfoss</t>
  </si>
  <si>
    <t>Christa</t>
  </si>
  <si>
    <t>Wright</t>
  </si>
  <si>
    <t>Joy</t>
  </si>
  <si>
    <t>Volarich</t>
  </si>
  <si>
    <t>Mark</t>
  </si>
  <si>
    <t>Linville</t>
  </si>
  <si>
    <t>West Virginia Chapter</t>
  </si>
  <si>
    <t>Kathie</t>
  </si>
  <si>
    <t>Iaconetti</t>
  </si>
  <si>
    <t>Steve</t>
  </si>
  <si>
    <t>Hand</t>
  </si>
  <si>
    <t>Shawn</t>
  </si>
  <si>
    <t>Deluhery</t>
  </si>
  <si>
    <t>Minnesota Chapter</t>
  </si>
  <si>
    <t>Beitman</t>
  </si>
  <si>
    <t>Edward</t>
  </si>
  <si>
    <t>Wuenschell</t>
  </si>
  <si>
    <t>Association</t>
  </si>
  <si>
    <t>Caroline</t>
  </si>
  <si>
    <t>Znaniec</t>
  </si>
  <si>
    <t>Katie</t>
  </si>
  <si>
    <t>Johnson</t>
  </si>
  <si>
    <t>Tennessee Chapter</t>
  </si>
  <si>
    <t>amy</t>
  </si>
  <si>
    <t>raymond</t>
  </si>
  <si>
    <t>South Texas Chapter</t>
  </si>
  <si>
    <t>Amber</t>
  </si>
  <si>
    <t>Wells</t>
  </si>
  <si>
    <t>Garner</t>
  </si>
  <si>
    <t>Steven</t>
  </si>
  <si>
    <t>Ivy</t>
  </si>
  <si>
    <t>Amy</t>
  </si>
  <si>
    <t>Kirk</t>
  </si>
  <si>
    <t>Upston</t>
  </si>
  <si>
    <t>jeremiah</t>
  </si>
  <si>
    <t>bolander</t>
  </si>
  <si>
    <t>Brad</t>
  </si>
  <si>
    <t>Willkie</t>
  </si>
  <si>
    <t>LaTrenda</t>
  </si>
  <si>
    <t>Dumas</t>
  </si>
  <si>
    <t>Jasmyn</t>
  </si>
  <si>
    <t>Patmon</t>
  </si>
  <si>
    <t>Rodgers</t>
  </si>
  <si>
    <t>Elaine</t>
  </si>
  <si>
    <t>Kim</t>
  </si>
  <si>
    <t>Lynne</t>
  </si>
  <si>
    <t>Winter</t>
  </si>
  <si>
    <t>Tamara</t>
  </si>
  <si>
    <t>Rockwell</t>
  </si>
  <si>
    <t>Cohen</t>
  </si>
  <si>
    <t>Christopher</t>
  </si>
  <si>
    <t>Mouradian</t>
  </si>
  <si>
    <t>Joe</t>
  </si>
  <si>
    <t>Caristi</t>
  </si>
  <si>
    <t>Artem</t>
  </si>
  <si>
    <t>Maksutov</t>
  </si>
  <si>
    <t>Belair</t>
  </si>
  <si>
    <t>Bennett</t>
  </si>
  <si>
    <t>Nathan</t>
  </si>
  <si>
    <t>Murry</t>
  </si>
  <si>
    <t>Ford</t>
  </si>
  <si>
    <t>Fisher</t>
  </si>
  <si>
    <t>O’Connor</t>
  </si>
  <si>
    <t>Ken</t>
  </si>
  <si>
    <t>Hogue</t>
  </si>
  <si>
    <t>Chapter Advancement Team</t>
  </si>
  <si>
    <t>Courtney</t>
  </si>
  <si>
    <t>Vandal</t>
  </si>
  <si>
    <t>North Dakota Chapter</t>
  </si>
  <si>
    <t>Elizabeth</t>
  </si>
  <si>
    <t>Byerly</t>
  </si>
  <si>
    <t>Edna</t>
  </si>
  <si>
    <t>Buffington</t>
  </si>
  <si>
    <t>Alabama Chapter</t>
  </si>
  <si>
    <t>Brian</t>
  </si>
  <si>
    <t>Shifflett</t>
  </si>
  <si>
    <t>Tori</t>
  </si>
  <si>
    <t>Wason</t>
  </si>
  <si>
    <t>cally</t>
  </si>
  <si>
    <t>christensen</t>
  </si>
  <si>
    <t>New Mexico Chapter</t>
  </si>
  <si>
    <t>chris</t>
  </si>
  <si>
    <t>papesh</t>
  </si>
  <si>
    <t>Kris</t>
  </si>
  <si>
    <t>Brumley</t>
  </si>
  <si>
    <t>Barron</t>
  </si>
  <si>
    <t>Adelane</t>
  </si>
  <si>
    <t>Clint</t>
  </si>
  <si>
    <t>Owen</t>
  </si>
  <si>
    <t>Will</t>
  </si>
  <si>
    <t>Sanders</t>
  </si>
  <si>
    <t>Tibor</t>
  </si>
  <si>
    <t>Bajusz</t>
  </si>
  <si>
    <t>Crystal</t>
  </si>
  <si>
    <t>Lonsbury</t>
  </si>
  <si>
    <t>jason</t>
  </si>
  <si>
    <t>sanchez</t>
  </si>
  <si>
    <t>Monica</t>
  </si>
  <si>
    <t>Langel</t>
  </si>
  <si>
    <t>Oliver</t>
  </si>
  <si>
    <t>Thurman</t>
  </si>
  <si>
    <t>Becca</t>
  </si>
  <si>
    <t>Meredith</t>
  </si>
  <si>
    <t>Brittany</t>
  </si>
  <si>
    <t>Kelley</t>
  </si>
  <si>
    <t>McCook</t>
  </si>
  <si>
    <t>LaVerna</t>
  </si>
  <si>
    <t>Davis</t>
  </si>
  <si>
    <t>Wyoming Chapter</t>
  </si>
  <si>
    <t>Holly</t>
  </si>
  <si>
    <t>Moen</t>
  </si>
  <si>
    <t>Jenifer</t>
  </si>
  <si>
    <t>Hendrix</t>
  </si>
  <si>
    <t>Yvonne</t>
  </si>
  <si>
    <t>Wigington</t>
  </si>
  <si>
    <t>Gidget</t>
  </si>
  <si>
    <t>Bowers</t>
  </si>
  <si>
    <t>Bauer</t>
  </si>
  <si>
    <t>Ashley</t>
  </si>
  <si>
    <t>Teeters</t>
  </si>
  <si>
    <t>Barrett</t>
  </si>
  <si>
    <t>Cunningham</t>
  </si>
  <si>
    <t>Misty</t>
  </si>
  <si>
    <t>Brackett</t>
  </si>
  <si>
    <t>Christina</t>
  </si>
  <si>
    <t>Steiner</t>
  </si>
  <si>
    <t>Connecticut Chapter</t>
  </si>
  <si>
    <t>Jade</t>
  </si>
  <si>
    <t>Canen</t>
  </si>
  <si>
    <t>Sierra</t>
  </si>
  <si>
    <t>Jordan</t>
  </si>
  <si>
    <t>Cerra</t>
  </si>
  <si>
    <t>Kentucky Chapter</t>
  </si>
  <si>
    <t>Gina</t>
  </si>
  <si>
    <t>DeConcini</t>
  </si>
  <si>
    <t>Mary</t>
  </si>
  <si>
    <t>OBrien</t>
  </si>
  <si>
    <t>Blade</t>
  </si>
  <si>
    <t>Chantily</t>
  </si>
  <si>
    <t>Malibago</t>
  </si>
  <si>
    <t>Chelsea</t>
  </si>
  <si>
    <t>Desrosiers</t>
  </si>
  <si>
    <t>Reid</t>
  </si>
  <si>
    <t>Anderson</t>
  </si>
  <si>
    <t>Howard</t>
  </si>
  <si>
    <t>Daffer</t>
  </si>
  <si>
    <t>Samantha</t>
  </si>
  <si>
    <t>Alex</t>
  </si>
  <si>
    <t>Harmon</t>
  </si>
  <si>
    <t>Shellie</t>
  </si>
  <si>
    <t>Shouse</t>
  </si>
  <si>
    <t>Cara</t>
  </si>
  <si>
    <t>Piekarski</t>
  </si>
  <si>
    <t>Suhail</t>
  </si>
  <si>
    <t>Nath</t>
  </si>
  <si>
    <t>Meghan</t>
  </si>
  <si>
    <t>Campbell</t>
  </si>
  <si>
    <t>Hudson</t>
  </si>
  <si>
    <t>Shelton</t>
  </si>
  <si>
    <t>William</t>
  </si>
  <si>
    <t>Rector</t>
  </si>
  <si>
    <t>Marcus</t>
  </si>
  <si>
    <t>Green</t>
  </si>
  <si>
    <t>Chad</t>
  </si>
  <si>
    <t>Preston</t>
  </si>
  <si>
    <t>Cox</t>
  </si>
  <si>
    <t>Sandra</t>
  </si>
  <si>
    <t>Hogan</t>
  </si>
  <si>
    <t>Kathryn</t>
  </si>
  <si>
    <t>Topper</t>
  </si>
  <si>
    <t>Rodney</t>
  </si>
  <si>
    <t>Adams</t>
  </si>
  <si>
    <t>Beckman</t>
  </si>
  <si>
    <t>Lawrence</t>
  </si>
  <si>
    <t>Amans</t>
  </si>
  <si>
    <t>Sacchinelli</t>
  </si>
  <si>
    <t>Blackwell</t>
  </si>
  <si>
    <t>McMichael</t>
  </si>
  <si>
    <t>Yeager</t>
  </si>
  <si>
    <t>Burdett</t>
  </si>
  <si>
    <t>First Illinois Chapter</t>
  </si>
  <si>
    <t>Sara</t>
  </si>
  <si>
    <t>Weisenberg</t>
  </si>
  <si>
    <t>Shelby</t>
  </si>
  <si>
    <t>Burghardt</t>
  </si>
  <si>
    <t>Eckert</t>
  </si>
  <si>
    <t>Brett</t>
  </si>
  <si>
    <t>Hoium</t>
  </si>
  <si>
    <t>Dennis</t>
  </si>
  <si>
    <t>Shirley</t>
  </si>
  <si>
    <t>Nelson</t>
  </si>
  <si>
    <t>Canaday</t>
  </si>
  <si>
    <t>Tim</t>
  </si>
  <si>
    <t>Sibert</t>
  </si>
  <si>
    <t>Murphy</t>
  </si>
  <si>
    <t>Weston</t>
  </si>
  <si>
    <t>Tallman</t>
  </si>
  <si>
    <t>Bird</t>
  </si>
  <si>
    <t>william</t>
  </si>
  <si>
    <t>merkle</t>
  </si>
  <si>
    <t>Casey</t>
  </si>
  <si>
    <t>Cockrum</t>
  </si>
  <si>
    <t>Downey</t>
  </si>
  <si>
    <t>Claudia</t>
  </si>
  <si>
    <t>Eads</t>
  </si>
  <si>
    <t>Nina</t>
  </si>
  <si>
    <t>Hollingsworth</t>
  </si>
  <si>
    <t>Jonica</t>
  </si>
  <si>
    <t>Weigel</t>
  </si>
  <si>
    <t>Derek</t>
  </si>
  <si>
    <t>Schaff</t>
  </si>
  <si>
    <t>Reiten</t>
  </si>
  <si>
    <t>St. Bernard</t>
  </si>
  <si>
    <t>Tanner</t>
  </si>
  <si>
    <t>Wealand</t>
  </si>
  <si>
    <t>Beth</t>
  </si>
  <si>
    <t>Carlson</t>
  </si>
  <si>
    <t>Pam</t>
  </si>
  <si>
    <t>Stampfli</t>
  </si>
  <si>
    <t>Moe</t>
  </si>
  <si>
    <t>Chandler</t>
  </si>
  <si>
    <t>Emily</t>
  </si>
  <si>
    <t>Eber</t>
  </si>
  <si>
    <t>Aaron</t>
  </si>
  <si>
    <t>Brennan</t>
  </si>
  <si>
    <t>Brown</t>
  </si>
  <si>
    <t>Goebel</t>
  </si>
  <si>
    <t>Brade</t>
  </si>
  <si>
    <t>Schweitzer</t>
  </si>
  <si>
    <t>Ed</t>
  </si>
  <si>
    <t>Finan</t>
  </si>
  <si>
    <t>Nebraska Chapter</t>
  </si>
  <si>
    <t>Jeanette</t>
  </si>
  <si>
    <t>Stevens</t>
  </si>
  <si>
    <t>Candy</t>
  </si>
  <si>
    <t>Gizzi</t>
  </si>
  <si>
    <t>Erten</t>
  </si>
  <si>
    <t>Florida Chapter</t>
  </si>
  <si>
    <t>Natalie</t>
  </si>
  <si>
    <t>Guzman</t>
  </si>
  <si>
    <t>Hailee</t>
  </si>
  <si>
    <t>Long</t>
  </si>
  <si>
    <t>Bourne</t>
  </si>
  <si>
    <t>Shelly</t>
  </si>
  <si>
    <t>Kleven</t>
  </si>
  <si>
    <t>Wilberg</t>
  </si>
  <si>
    <t>Jones</t>
  </si>
  <si>
    <t>Laraine</t>
  </si>
  <si>
    <t>Gengler</t>
  </si>
  <si>
    <t>kas</t>
  </si>
  <si>
    <t>garnes</t>
  </si>
  <si>
    <t>Metropolitan Philadelphia Chapter</t>
  </si>
  <si>
    <t>Taireli</t>
  </si>
  <si>
    <t>Hidalgo Gonzalez</t>
  </si>
  <si>
    <t>Fahd</t>
  </si>
  <si>
    <t>Benjalil</t>
  </si>
  <si>
    <t>Ahmed</t>
  </si>
  <si>
    <t>Elsayed-Ahmed</t>
  </si>
  <si>
    <t>Marco</t>
  </si>
  <si>
    <t>Priolo</t>
  </si>
  <si>
    <t>Jill</t>
  </si>
  <si>
    <t>Squiers</t>
  </si>
  <si>
    <t>BETTE</t>
  </si>
  <si>
    <t>SCHNUR</t>
  </si>
  <si>
    <t>Jodianne</t>
  </si>
  <si>
    <t>Broomall</t>
  </si>
  <si>
    <t>Southwestern Ohio Chapter</t>
  </si>
  <si>
    <t>Susan</t>
  </si>
  <si>
    <t>Prior</t>
  </si>
  <si>
    <t>Taryn</t>
  </si>
  <si>
    <t>Petter</t>
  </si>
  <si>
    <t>Regina</t>
  </si>
  <si>
    <t>Mathieson</t>
  </si>
  <si>
    <t>Erin</t>
  </si>
  <si>
    <t>Squires</t>
  </si>
  <si>
    <t>Wollman</t>
  </si>
  <si>
    <t>Gaines</t>
  </si>
  <si>
    <t>Whitton</t>
  </si>
  <si>
    <t>Kyle</t>
  </si>
  <si>
    <t>Dunleavy</t>
  </si>
  <si>
    <t>Xhemil</t>
  </si>
  <si>
    <t>Koliani</t>
  </si>
  <si>
    <t>Paul</t>
  </si>
  <si>
    <t>Krsiak</t>
  </si>
  <si>
    <t>Sue</t>
  </si>
  <si>
    <t>DiMatteo</t>
  </si>
  <si>
    <t>Schuster</t>
  </si>
  <si>
    <t>Tawny</t>
  </si>
  <si>
    <t>Schaffer</t>
  </si>
  <si>
    <t>Kuzera</t>
  </si>
  <si>
    <t>Billy</t>
  </si>
  <si>
    <t>McNeely</t>
  </si>
  <si>
    <t>Jake</t>
  </si>
  <si>
    <t>Etnier</t>
  </si>
  <si>
    <t>Felczak</t>
  </si>
  <si>
    <t>Michigan Great Lakes Chapter</t>
  </si>
  <si>
    <t>Pat</t>
  </si>
  <si>
    <t>Solis</t>
  </si>
  <si>
    <t>Duane</t>
  </si>
  <si>
    <t>Preshinger</t>
  </si>
  <si>
    <t>Montana Chapter</t>
  </si>
  <si>
    <t>Jeremy</t>
  </si>
  <si>
    <t>Phifer</t>
  </si>
  <si>
    <t>Rogers</t>
  </si>
  <si>
    <t>Wood</t>
  </si>
  <si>
    <t>Dia</t>
  </si>
  <si>
    <t>Barakat</t>
  </si>
  <si>
    <t>National Board of Directors</t>
  </si>
  <si>
    <t>Tashia</t>
  </si>
  <si>
    <t>Lindvall-Day</t>
  </si>
  <si>
    <t>Jami</t>
  </si>
  <si>
    <t>Bryan</t>
  </si>
  <si>
    <t>Chalmers</t>
  </si>
  <si>
    <t>Anna</t>
  </si>
  <si>
    <t>Carla</t>
  </si>
  <si>
    <t>Neiman</t>
  </si>
  <si>
    <t>Akvilina</t>
  </si>
  <si>
    <t>Rieger</t>
  </si>
  <si>
    <t>Kailyn</t>
  </si>
  <si>
    <t>Rowe</t>
  </si>
  <si>
    <t>Mitchell</t>
  </si>
  <si>
    <t>Tricia</t>
  </si>
  <si>
    <t>Wagner</t>
  </si>
  <si>
    <t>Popp</t>
  </si>
  <si>
    <t>Fred</t>
  </si>
  <si>
    <t>Binczewski</t>
  </si>
  <si>
    <t>Schillaci</t>
  </si>
  <si>
    <t>Kristen</t>
  </si>
  <si>
    <t>Gilfeather</t>
  </si>
  <si>
    <t>Tiffany</t>
  </si>
  <si>
    <t>Bradeen</t>
  </si>
  <si>
    <t>Miguel</t>
  </si>
  <si>
    <t>Lopez</t>
  </si>
  <si>
    <t>Rabat-Torki</t>
  </si>
  <si>
    <t>Joel</t>
  </si>
  <si>
    <t>Onsager</t>
  </si>
  <si>
    <t>Robinson</t>
  </si>
  <si>
    <t>Jacqueline</t>
  </si>
  <si>
    <t>Phillips</t>
  </si>
  <si>
    <t>Melissa</t>
  </si>
  <si>
    <t>Crass</t>
  </si>
  <si>
    <t>Beasley</t>
  </si>
  <si>
    <t>Linda</t>
  </si>
  <si>
    <t>Kulhanek</t>
  </si>
  <si>
    <t>Ruder</t>
  </si>
  <si>
    <t>Lowry</t>
  </si>
  <si>
    <t>Greater Illinois Chapter</t>
  </si>
  <si>
    <t>Marci</t>
  </si>
  <si>
    <t>Mollman</t>
  </si>
  <si>
    <t>Staas</t>
  </si>
  <si>
    <t>Deb</t>
  </si>
  <si>
    <t>Slogar</t>
  </si>
  <si>
    <t>Northeast Ohio Chapter</t>
  </si>
  <si>
    <t>ADAM</t>
  </si>
  <si>
    <t>LEACH</t>
  </si>
  <si>
    <t>Solich</t>
  </si>
  <si>
    <t>Wickard</t>
  </si>
  <si>
    <t>Rose</t>
  </si>
  <si>
    <t>stacey</t>
  </si>
  <si>
    <t>basalla</t>
  </si>
  <si>
    <t>Bame</t>
  </si>
  <si>
    <t>Lovette</t>
  </si>
  <si>
    <t>Velaga</t>
  </si>
  <si>
    <t>Kornowa</t>
  </si>
  <si>
    <t>Khalida</t>
  </si>
  <si>
    <t>Burton</t>
  </si>
  <si>
    <t>Gill</t>
  </si>
  <si>
    <t>Barbara</t>
  </si>
  <si>
    <t>Weber</t>
  </si>
  <si>
    <t>Besler</t>
  </si>
  <si>
    <t>Hoffman</t>
  </si>
  <si>
    <t>Filipiak</t>
  </si>
  <si>
    <t>Dan</t>
  </si>
  <si>
    <t>Reilly</t>
  </si>
  <si>
    <t>Greater Heartland Chapter</t>
  </si>
  <si>
    <t>Brent</t>
  </si>
  <si>
    <t>Shaun</t>
  </si>
  <si>
    <t>Jared</t>
  </si>
  <si>
    <t>Heim</t>
  </si>
  <si>
    <t>ANNMARIE</t>
  </si>
  <si>
    <t>MARTINEZ</t>
  </si>
  <si>
    <t>Sullivan</t>
  </si>
  <si>
    <t>Massachusetts-Rhode Island Chapter</t>
  </si>
  <si>
    <t>Carr</t>
  </si>
  <si>
    <t>Bohnert</t>
  </si>
  <si>
    <t>Fatimah</t>
  </si>
  <si>
    <t>Muhammad</t>
  </si>
  <si>
    <t>Czvornyek</t>
  </si>
  <si>
    <t>Patricia</t>
  </si>
  <si>
    <t>Rachell</t>
  </si>
  <si>
    <t>Dana</t>
  </si>
  <si>
    <t>Christiansen</t>
  </si>
  <si>
    <t>Flannery</t>
  </si>
  <si>
    <t>Pierson</t>
  </si>
  <si>
    <t>Meador</t>
  </si>
  <si>
    <t>McNamee</t>
  </si>
  <si>
    <t>Mollee</t>
  </si>
  <si>
    <t>Perkins</t>
  </si>
  <si>
    <t>Barry</t>
  </si>
  <si>
    <t>Burkart</t>
  </si>
  <si>
    <t>Tina</t>
  </si>
  <si>
    <t>Stone</t>
  </si>
  <si>
    <t>Janelle</t>
  </si>
  <si>
    <t>Padgett</t>
  </si>
  <si>
    <t>Alison</t>
  </si>
  <si>
    <t>Gottwalt</t>
  </si>
  <si>
    <t>Seal</t>
  </si>
  <si>
    <t>Dinesh</t>
  </si>
  <si>
    <t>Pai</t>
  </si>
  <si>
    <t>Denise</t>
  </si>
  <si>
    <t>Waters</t>
  </si>
  <si>
    <t>Shasky</t>
  </si>
  <si>
    <t>Bruno</t>
  </si>
  <si>
    <t>Darcy</t>
  </si>
  <si>
    <t>Robertson</t>
  </si>
  <si>
    <t>Luke</t>
  </si>
  <si>
    <t>Piascik</t>
  </si>
  <si>
    <t>Empire New York Chapter</t>
  </si>
  <si>
    <t>Lindsay</t>
  </si>
  <si>
    <t>Suzanne</t>
  </si>
  <si>
    <t>Jordan-Williams</t>
  </si>
  <si>
    <t>Sarah</t>
  </si>
  <si>
    <t>Brainard</t>
  </si>
  <si>
    <t>Tracy</t>
  </si>
  <si>
    <t>Wimmer</t>
  </si>
  <si>
    <t>Theresa</t>
  </si>
  <si>
    <t>Kayla</t>
  </si>
  <si>
    <t>Gross</t>
  </si>
  <si>
    <t>Tami</t>
  </si>
  <si>
    <t>Love</t>
  </si>
  <si>
    <t>Alicia</t>
  </si>
  <si>
    <t>Henson</t>
  </si>
  <si>
    <t>Rob</t>
  </si>
  <si>
    <t>Gasaway</t>
  </si>
  <si>
    <t>Fitzsimmons</t>
  </si>
  <si>
    <t>Cassidy</t>
  </si>
  <si>
    <t>Vance</t>
  </si>
  <si>
    <t>Gage</t>
  </si>
  <si>
    <t>Beavers</t>
  </si>
  <si>
    <t>Vicki</t>
  </si>
  <si>
    <t>Virgin</t>
  </si>
  <si>
    <t>Terri</t>
  </si>
  <si>
    <t>Floyd</t>
  </si>
  <si>
    <t>Ellis</t>
  </si>
  <si>
    <t>Barney</t>
  </si>
  <si>
    <t>Rossato</t>
  </si>
  <si>
    <t>Payne</t>
  </si>
  <si>
    <t>Rahn</t>
  </si>
  <si>
    <t>Som</t>
  </si>
  <si>
    <t>Chivukula</t>
  </si>
  <si>
    <t>Guernsey</t>
  </si>
  <si>
    <t>Nancy</t>
  </si>
  <si>
    <t>Ariana</t>
  </si>
  <si>
    <t>Raymond</t>
  </si>
  <si>
    <t>Nichole</t>
  </si>
  <si>
    <t>Niesen</t>
  </si>
  <si>
    <t>Bollinger</t>
  </si>
  <si>
    <t>Matonican</t>
  </si>
  <si>
    <t>Paige</t>
  </si>
  <si>
    <t>Cooper</t>
  </si>
  <si>
    <t>Hatt</t>
  </si>
  <si>
    <t>Hannah</t>
  </si>
  <si>
    <t>Perez</t>
  </si>
  <si>
    <t>Dawn</t>
  </si>
  <si>
    <t>Coates</t>
  </si>
  <si>
    <t>Anthony</t>
  </si>
  <si>
    <t>Catajan</t>
  </si>
  <si>
    <t>Colin</t>
  </si>
  <si>
    <t>Conklin</t>
  </si>
  <si>
    <t>Santullo</t>
  </si>
  <si>
    <t>Christin</t>
  </si>
  <si>
    <t>Wisser</t>
  </si>
  <si>
    <t>Amina</t>
  </si>
  <si>
    <t>Razanica</t>
  </si>
  <si>
    <t>Annamarie</t>
  </si>
  <si>
    <t>Monks</t>
  </si>
  <si>
    <t>erik</t>
  </si>
  <si>
    <t>lynch</t>
  </si>
  <si>
    <t>Schenkel</t>
  </si>
  <si>
    <t>Kinnison</t>
  </si>
  <si>
    <t>Beaman</t>
  </si>
  <si>
    <t>Celia</t>
  </si>
  <si>
    <t>Favata</t>
  </si>
  <si>
    <t>Brianna</t>
  </si>
  <si>
    <t>Bloemker</t>
  </si>
  <si>
    <t>Reba</t>
  </si>
  <si>
    <t>Dresen</t>
  </si>
  <si>
    <t>Oribello</t>
  </si>
  <si>
    <t>Confoey</t>
  </si>
  <si>
    <t>Brenden</t>
  </si>
  <si>
    <t>Mance</t>
  </si>
  <si>
    <t>Goins</t>
  </si>
  <si>
    <t>Kenney</t>
  </si>
  <si>
    <t>Hosey</t>
  </si>
  <si>
    <t>Ruta</t>
  </si>
  <si>
    <t>Rochester Regional</t>
  </si>
  <si>
    <t>Stacey</t>
  </si>
  <si>
    <t>Bodenstein</t>
  </si>
  <si>
    <t>Blank</t>
  </si>
  <si>
    <t>McIntosh</t>
  </si>
  <si>
    <t>Arvind</t>
  </si>
  <si>
    <t>Joshi</t>
  </si>
  <si>
    <t>Gordon</t>
  </si>
  <si>
    <t>Moynihan</t>
  </si>
  <si>
    <t>Sommer</t>
  </si>
  <si>
    <t>Bockerstette</t>
  </si>
  <si>
    <t>Garami</t>
  </si>
  <si>
    <t>Norman</t>
  </si>
  <si>
    <t>Zimmerman</t>
  </si>
  <si>
    <t>Keith</t>
  </si>
  <si>
    <t>Kinsella</t>
  </si>
  <si>
    <t>Moss</t>
  </si>
  <si>
    <t>Emily Anne</t>
  </si>
  <si>
    <t>Jacobstein</t>
  </si>
  <si>
    <t>Abate</t>
  </si>
  <si>
    <t>Mary Beth</t>
  </si>
  <si>
    <t>REMORENKO</t>
  </si>
  <si>
    <t>Timothy</t>
  </si>
  <si>
    <t>Hall</t>
  </si>
  <si>
    <t>Craig</t>
  </si>
  <si>
    <t>Nesta</t>
  </si>
  <si>
    <t>Wynne</t>
  </si>
  <si>
    <t>Sou Chon</t>
  </si>
  <si>
    <t>Young</t>
  </si>
  <si>
    <t>Eva</t>
  </si>
  <si>
    <t>Greenwood</t>
  </si>
  <si>
    <t>charles</t>
  </si>
  <si>
    <t>zanazzi</t>
  </si>
  <si>
    <t>Carlozzi</t>
  </si>
  <si>
    <t>Kerry</t>
  </si>
  <si>
    <t>Tammy</t>
  </si>
  <si>
    <t>Ormuz</t>
  </si>
  <si>
    <t>Sergio</t>
  </si>
  <si>
    <t>Quiej</t>
  </si>
  <si>
    <t>Mincher</t>
  </si>
  <si>
    <t>Thera</t>
  </si>
  <si>
    <t>Rhodes</t>
  </si>
  <si>
    <t>Kubin</t>
  </si>
  <si>
    <t>Monroe</t>
  </si>
  <si>
    <t>Laurel</t>
  </si>
  <si>
    <t>Carpenter</t>
  </si>
  <si>
    <t>Louisiana Chapter</t>
  </si>
  <si>
    <t>Caldwell</t>
  </si>
  <si>
    <t>Fogle</t>
  </si>
  <si>
    <t>Keenoy</t>
  </si>
  <si>
    <t>Christian</t>
  </si>
  <si>
    <t>Robbins</t>
  </si>
  <si>
    <t>Erika</t>
  </si>
  <si>
    <t>Andrews Anderson</t>
  </si>
  <si>
    <t>Abigail</t>
  </si>
  <si>
    <t>Parker</t>
  </si>
  <si>
    <t>Zachary</t>
  </si>
  <si>
    <t>Heward</t>
  </si>
  <si>
    <t>Freeman</t>
  </si>
  <si>
    <t>Nettleton</t>
  </si>
  <si>
    <t>Kos</t>
  </si>
  <si>
    <t>Lindsey</t>
  </si>
  <si>
    <t>Samp</t>
  </si>
  <si>
    <t>NATASHA</t>
  </si>
  <si>
    <t>BRUNER</t>
  </si>
  <si>
    <t>Matthews</t>
  </si>
  <si>
    <t>Dayle</t>
  </si>
  <si>
    <t>Harlow</t>
  </si>
  <si>
    <t>Oscar</t>
  </si>
  <si>
    <t>Gonzalez</t>
  </si>
  <si>
    <t>Hayley</t>
  </si>
  <si>
    <t>Prosser</t>
  </si>
  <si>
    <t>Schmitt</t>
  </si>
  <si>
    <t>Chance</t>
  </si>
  <si>
    <t>Klasek</t>
  </si>
  <si>
    <t>sheila</t>
  </si>
  <si>
    <t>augustine</t>
  </si>
  <si>
    <t>Rhynalds</t>
  </si>
  <si>
    <t>murry</t>
  </si>
  <si>
    <t>Facciponti</t>
  </si>
  <si>
    <t>Weinstein</t>
  </si>
  <si>
    <t>Foster</t>
  </si>
  <si>
    <t>Herdman</t>
  </si>
  <si>
    <t>Schaaf</t>
  </si>
  <si>
    <t>Koy</t>
  </si>
  <si>
    <t>Dever</t>
  </si>
  <si>
    <t>Demetrops</t>
  </si>
  <si>
    <t>Josette</t>
  </si>
  <si>
    <t>Russo</t>
  </si>
  <si>
    <t>Tabitha</t>
  </si>
  <si>
    <t>Dean</t>
  </si>
  <si>
    <t>Kelli</t>
  </si>
  <si>
    <t>Riley</t>
  </si>
  <si>
    <t>Hammond</t>
  </si>
  <si>
    <t>Dhara</t>
  </si>
  <si>
    <t>Satija</t>
  </si>
  <si>
    <t>Patrick</t>
  </si>
  <si>
    <t>McDonough</t>
  </si>
  <si>
    <t>Holley</t>
  </si>
  <si>
    <t>Irvin</t>
  </si>
  <si>
    <t>Alden</t>
  </si>
  <si>
    <t>Cartwright</t>
  </si>
  <si>
    <t>Schaefer</t>
  </si>
  <si>
    <t>Lynn</t>
  </si>
  <si>
    <t>Carter-Toler</t>
  </si>
  <si>
    <t>Corinna</t>
  </si>
  <si>
    <t>Goron</t>
  </si>
  <si>
    <t>Neil</t>
  </si>
  <si>
    <t>Boudreaux</t>
  </si>
  <si>
    <t>Driskell</t>
  </si>
  <si>
    <t>Walls</t>
  </si>
  <si>
    <t>Summers</t>
  </si>
  <si>
    <t>Calamas</t>
  </si>
  <si>
    <t>Schlabach</t>
  </si>
  <si>
    <t>DeAnn</t>
  </si>
  <si>
    <t>Griffin</t>
  </si>
  <si>
    <t>Meagan</t>
  </si>
  <si>
    <t>Ariel</t>
  </si>
  <si>
    <t>Biggs</t>
  </si>
  <si>
    <t>Samuel</t>
  </si>
  <si>
    <t>McCord</t>
  </si>
  <si>
    <t>Bradley</t>
  </si>
  <si>
    <t>Haynes</t>
  </si>
  <si>
    <t>Roger</t>
  </si>
  <si>
    <t>Farrell</t>
  </si>
  <si>
    <t>D'Onofrio</t>
  </si>
  <si>
    <t>Hallett</t>
  </si>
  <si>
    <t>Felipe</t>
  </si>
  <si>
    <t>Bear</t>
  </si>
  <si>
    <t>Chastity</t>
  </si>
  <si>
    <t>Werner</t>
  </si>
  <si>
    <t>Roth</t>
  </si>
  <si>
    <t>Margot</t>
  </si>
  <si>
    <t>Berg</t>
  </si>
  <si>
    <t>Rennie</t>
  </si>
  <si>
    <t>Otake</t>
  </si>
  <si>
    <t>Hawaii Chapter</t>
  </si>
  <si>
    <t>Troxell</t>
  </si>
  <si>
    <t>Trubenbach-Byrne</t>
  </si>
  <si>
    <t>Maurer</t>
  </si>
  <si>
    <t>Shedlock</t>
  </si>
  <si>
    <t>McMullin</t>
  </si>
  <si>
    <t>Jennie</t>
  </si>
  <si>
    <t>Rhoads</t>
  </si>
  <si>
    <t>Ellie</t>
  </si>
  <si>
    <t>Middleton</t>
  </si>
  <si>
    <t>Schon</t>
  </si>
  <si>
    <t>Brandi</t>
  </si>
  <si>
    <t>Bradrick</t>
  </si>
  <si>
    <t>Carlous</t>
  </si>
  <si>
    <t>Ivey</t>
  </si>
  <si>
    <t>Francel</t>
  </si>
  <si>
    <t>Visini</t>
  </si>
  <si>
    <t>Molitoris</t>
  </si>
  <si>
    <t>Weetenkamp</t>
  </si>
  <si>
    <t>Shiny</t>
  </si>
  <si>
    <t>George</t>
  </si>
  <si>
    <t>Melinda</t>
  </si>
  <si>
    <t>Cauley</t>
  </si>
  <si>
    <t>Honeywell</t>
  </si>
  <si>
    <t>Denny</t>
  </si>
  <si>
    <t>Henderson</t>
  </si>
  <si>
    <t>Tadiello</t>
  </si>
  <si>
    <t>Galanos</t>
  </si>
  <si>
    <t>Rusch</t>
  </si>
  <si>
    <t>Desiree</t>
  </si>
  <si>
    <t>Easterwood</t>
  </si>
  <si>
    <t>Andy</t>
  </si>
  <si>
    <t>Emrhein</t>
  </si>
  <si>
    <t>Richards</t>
  </si>
  <si>
    <t>Meir</t>
  </si>
  <si>
    <t>Miskin</t>
  </si>
  <si>
    <t>Anne</t>
  </si>
  <si>
    <t>DelPizzo</t>
  </si>
  <si>
    <t>Buirge</t>
  </si>
  <si>
    <t>Orange</t>
  </si>
  <si>
    <t>Ehrman</t>
  </si>
  <si>
    <t>Lewis</t>
  </si>
  <si>
    <t>DiLuca</t>
  </si>
  <si>
    <t>A Colby</t>
  </si>
  <si>
    <t>Zakary</t>
  </si>
  <si>
    <t>Kruse</t>
  </si>
  <si>
    <t>Iowa Chapter</t>
  </si>
  <si>
    <t>Parsons</t>
  </si>
  <si>
    <t>Appleby</t>
  </si>
  <si>
    <t>Grimes</t>
  </si>
  <si>
    <t>Sorrell</t>
  </si>
  <si>
    <t>Karoleen</t>
  </si>
  <si>
    <t>Hammel</t>
  </si>
  <si>
    <t>Brandy</t>
  </si>
  <si>
    <t>Simpson</t>
  </si>
  <si>
    <t>Wendy</t>
  </si>
  <si>
    <t>Torres</t>
  </si>
  <si>
    <t>Vince</t>
  </si>
  <si>
    <t>Sisti</t>
  </si>
  <si>
    <t>Kent</t>
  </si>
  <si>
    <t>Swiecicki</t>
  </si>
  <si>
    <t>Refness</t>
  </si>
  <si>
    <t>Boyington</t>
  </si>
  <si>
    <t>Gallimore</t>
  </si>
  <si>
    <t>Tucker</t>
  </si>
  <si>
    <t>Larnie</t>
  </si>
  <si>
    <t>Boyd</t>
  </si>
  <si>
    <t>Glazener</t>
  </si>
  <si>
    <t>Gevin</t>
  </si>
  <si>
    <t>Dray</t>
  </si>
  <si>
    <t>Trostel</t>
  </si>
  <si>
    <t>Paola</t>
  </si>
  <si>
    <t>Turchi</t>
  </si>
  <si>
    <t>Polanco</t>
  </si>
  <si>
    <t>Washington Alaska Chapter</t>
  </si>
  <si>
    <t>Brooks</t>
  </si>
  <si>
    <t>Joshua</t>
  </si>
  <si>
    <t>Reaper</t>
  </si>
  <si>
    <t>Kimberlee</t>
  </si>
  <si>
    <t>Fair</t>
  </si>
  <si>
    <t>Downs</t>
  </si>
  <si>
    <t>Breanna</t>
  </si>
  <si>
    <t>Yoshida</t>
  </si>
  <si>
    <t>Clinton</t>
  </si>
  <si>
    <t>Kirkendall</t>
  </si>
  <si>
    <t>Marr</t>
  </si>
  <si>
    <t>Sidney</t>
  </si>
  <si>
    <t>Norton</t>
  </si>
  <si>
    <t>Aumick</t>
  </si>
  <si>
    <t>Scultz</t>
  </si>
  <si>
    <t>Marcia</t>
  </si>
  <si>
    <t>Olson</t>
  </si>
  <si>
    <t>Jaxon</t>
  </si>
  <si>
    <t>Law</t>
  </si>
  <si>
    <t>Robin</t>
  </si>
  <si>
    <t>Cavitt</t>
  </si>
  <si>
    <t>Warner</t>
  </si>
  <si>
    <t>Towannah</t>
  </si>
  <si>
    <t>Suzuki</t>
  </si>
  <si>
    <t>Enriques</t>
  </si>
  <si>
    <t>Hermanson</t>
  </si>
  <si>
    <t>Washington-Alaska Chapter</t>
  </si>
  <si>
    <t>Guillermo</t>
  </si>
  <si>
    <t>Calderon-Nzewodo</t>
  </si>
  <si>
    <t>Albert</t>
  </si>
  <si>
    <t>Dayag</t>
  </si>
  <si>
    <t>Ridley</t>
  </si>
  <si>
    <t>Cory</t>
  </si>
  <si>
    <t>Van Maanen</t>
  </si>
  <si>
    <t>Brenda</t>
  </si>
  <si>
    <t>Parinas</t>
  </si>
  <si>
    <t>Marie</t>
  </si>
  <si>
    <t>Lainey</t>
  </si>
  <si>
    <t>Atwal</t>
  </si>
  <si>
    <t>Minor</t>
  </si>
  <si>
    <t>Nowlan</t>
  </si>
  <si>
    <t>Spangler</t>
  </si>
  <si>
    <t>Aguilar</t>
  </si>
  <si>
    <t>Vincent</t>
  </si>
  <si>
    <t>Moga</t>
  </si>
  <si>
    <t>Church</t>
  </si>
  <si>
    <t>Gilbreath</t>
  </si>
  <si>
    <t>Ann</t>
  </si>
  <si>
    <t>Peterson</t>
  </si>
  <si>
    <t>NICHOLE</t>
  </si>
  <si>
    <t>WACHTMAN</t>
  </si>
  <si>
    <t>Shayna</t>
  </si>
  <si>
    <t>DesJardin</t>
  </si>
  <si>
    <t>Stanley</t>
  </si>
  <si>
    <t>Molly</t>
  </si>
  <si>
    <t>Hazen</t>
  </si>
  <si>
    <t>Angie</t>
  </si>
  <si>
    <t>Morris</t>
  </si>
  <si>
    <t>Gladiola</t>
  </si>
  <si>
    <t>Moore</t>
  </si>
  <si>
    <t>Covert</t>
  </si>
  <si>
    <t>Cale</t>
  </si>
  <si>
    <t>Gehring</t>
  </si>
  <si>
    <t>Bryant</t>
  </si>
  <si>
    <t>Blay</t>
  </si>
  <si>
    <t>Allers</t>
  </si>
  <si>
    <t>Shurtliff</t>
  </si>
  <si>
    <t>Workman</t>
  </si>
  <si>
    <t>Marni  Lynn Leonard</t>
  </si>
  <si>
    <t>Creswell</t>
  </si>
  <si>
    <t>Agate</t>
  </si>
  <si>
    <t>Alanna</t>
  </si>
  <si>
    <t>Weaver</t>
  </si>
  <si>
    <t>Lehua</t>
  </si>
  <si>
    <t>Pate</t>
  </si>
  <si>
    <t>Peter</t>
  </si>
  <si>
    <t>Hinojosa</t>
  </si>
  <si>
    <t>Dumlao</t>
  </si>
  <si>
    <t>Matricardi</t>
  </si>
  <si>
    <t>Southern California Chapter</t>
  </si>
  <si>
    <t>Hebert</t>
  </si>
  <si>
    <t>Storms</t>
  </si>
  <si>
    <t>Charity</t>
  </si>
  <si>
    <t>North Carolina Chapter</t>
  </si>
  <si>
    <t>Eugina</t>
  </si>
  <si>
    <t>Tillman</t>
  </si>
  <si>
    <t>Vicky</t>
  </si>
  <si>
    <t>Asencio</t>
  </si>
  <si>
    <t>Hicks</t>
  </si>
  <si>
    <t>Mattson</t>
  </si>
  <si>
    <t>Beas</t>
  </si>
  <si>
    <t>Gretchen</t>
  </si>
  <si>
    <t>Works</t>
  </si>
  <si>
    <t>Wilson</t>
  </si>
  <si>
    <t>Jeffery</t>
  </si>
  <si>
    <t>Olivia</t>
  </si>
  <si>
    <t>Currin-Britt</t>
  </si>
  <si>
    <t>Martha</t>
  </si>
  <si>
    <t>Ngo</t>
  </si>
  <si>
    <t>Winchester</t>
  </si>
  <si>
    <t>Prater</t>
  </si>
  <si>
    <t>Hilary</t>
  </si>
  <si>
    <t>Esa</t>
  </si>
  <si>
    <t>Wendi</t>
  </si>
  <si>
    <t>Cardwell</t>
  </si>
  <si>
    <t>Lloyd</t>
  </si>
  <si>
    <t>Phil</t>
  </si>
  <si>
    <t>Rooney</t>
  </si>
  <si>
    <t>White</t>
  </si>
  <si>
    <t>Cvent Specialist</t>
  </si>
  <si>
    <t>Fredette</t>
  </si>
  <si>
    <t>Starley</t>
  </si>
  <si>
    <t>McElroy</t>
  </si>
  <si>
    <t>Burns</t>
  </si>
  <si>
    <t>Tony</t>
  </si>
  <si>
    <t>Andrade</t>
  </si>
  <si>
    <t>Peeler</t>
  </si>
  <si>
    <t>Reynolds</t>
  </si>
  <si>
    <t>Mack</t>
  </si>
  <si>
    <t>CECELIA</t>
  </si>
  <si>
    <t>RUSSELL</t>
  </si>
  <si>
    <t>Soto</t>
  </si>
  <si>
    <t>Sunshine</t>
  </si>
  <si>
    <t>O?Bannon</t>
  </si>
  <si>
    <t>Aundria</t>
  </si>
  <si>
    <t>Mazoros</t>
  </si>
  <si>
    <t>Carl</t>
  </si>
  <si>
    <t>Christensen</t>
  </si>
  <si>
    <t>Bickle</t>
  </si>
  <si>
    <t>Desember</t>
  </si>
  <si>
    <t>Terry</t>
  </si>
  <si>
    <t>Liana</t>
  </si>
  <si>
    <t>Ruiz</t>
  </si>
  <si>
    <t>Ryanne</t>
  </si>
  <si>
    <t>Laurence</t>
  </si>
  <si>
    <t>Eagles</t>
  </si>
  <si>
    <t>Rich</t>
  </si>
  <si>
    <t>Ellsworth</t>
  </si>
  <si>
    <t>Caitlin</t>
  </si>
  <si>
    <t>Patton</t>
  </si>
  <si>
    <t>Athena</t>
  </si>
  <si>
    <t>Branshaw</t>
  </si>
  <si>
    <t>Evan</t>
  </si>
  <si>
    <t>Martin</t>
  </si>
  <si>
    <t>Hill</t>
  </si>
  <si>
    <t>Seymour</t>
  </si>
  <si>
    <t>First Name</t>
  </si>
  <si>
    <t>Last Name</t>
  </si>
  <si>
    <t>Last Modified Date (GMT-06:00) Central [US &amp; Canada]</t>
  </si>
  <si>
    <t>Select Region Number</t>
  </si>
  <si>
    <t>Select Chapter Name</t>
  </si>
  <si>
    <t>Volunteer Role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</si>
</sst>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0"/>
      <color theme="1"/>
      <name val="Arial"/>
      <family val="2"/>
    </font>
    <font>
      <b/>
      <sz val="13"/>
      <color theme="1"/>
      <name val="Calibri"/>
      <family val="2"/>
    </font>
    <font>
      <sz val="12"/>
      <color theme="1"/>
      <name val="Calibri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DEDED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7">
    <xf numFmtId="0" fontId="0" fillId="0" borderId="0" xfId="0"/>
    <xf numFmtId="49" fontId="2" fillId="0" borderId="0" xfId="0" applyNumberFormat="1" applyFont="1" applyAlignment="1">
      <alignment wrapText="1"/>
    </xf>
    <xf numFmtId="22" fontId="2" fillId="0" borderId="0" xfId="0" applyNumberFormat="1" applyFont="1"/>
    <xf numFmtId="49" fontId="2" fillId="2" borderId="0" xfId="0" applyNumberFormat="1" applyFont="1" applyFill="1" applyAlignment="1">
      <alignment wrapText="1"/>
    </xf>
    <xf numFmtId="22" fontId="2" fillId="2" borderId="0" xfId="0" applyNumberFormat="1" applyFont="1" applyFill="1"/>
    <xf numFmtId="0" fontId="1" fillId="0" borderId="1" xfId="0" applyFont="1" applyBorder="1" applyAlignment="1">
      <alignment vertical="center" wrapText="1"/>
    </xf>
    <xf numFmtId="0" fontId="0" fillId="0" borderId="0" xfId="0" applyFill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730" totalsRowShown="0">
  <autoFilter ref="A1:F730" xr:uid="{00000000-0009-0000-0100-000001000000}"/>
  <tableColumns count="6">
    <tableColumn id="1" xr3:uid="{00000000-0010-0000-0000-000001000000}" name="First Name"/>
    <tableColumn id="2" xr3:uid="{00000000-0010-0000-0000-000002000000}" name="Last Name"/>
    <tableColumn id="5" xr3:uid="{00000000-0010-0000-0000-000005000000}" name="Last Modified Date (GMT-06:00) Central [US &amp; Canada]"/>
    <tableColumn id="6" xr3:uid="{00000000-0010-0000-0000-000006000000}" name="Select Region Number"/>
    <tableColumn id="7" xr3:uid="{00000000-0010-0000-0000-000007000000}" name="Select Chapter Name"/>
    <tableColumn id="8" xr3:uid="{00000000-0010-0000-0000-000008000000}" name="Volunteer Role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30"/>
  <sheetViews>
    <sheetView tabSelected="1" workbookViewId="0">
      <selection activeCell="C1" sqref="C1:D1048576"/>
    </sheetView>
  </sheetViews>
  <sheetFormatPr defaultRowHeight="13.2" x14ac:dyDescent="0.25"/>
  <cols>
    <col min="1" max="6" width="27.44140625" customWidth="1"/>
  </cols>
  <sheetData>
    <row r="1" spans="1:6" ht="52.2" x14ac:dyDescent="0.25">
      <c r="A1" s="5" t="s">
        <v>1193</v>
      </c>
      <c r="B1" s="5" t="s">
        <v>1194</v>
      </c>
      <c r="C1" s="5" t="s">
        <v>1195</v>
      </c>
      <c r="D1" s="5" t="s">
        <v>1196</v>
      </c>
      <c r="E1" s="5" t="s">
        <v>1197</v>
      </c>
      <c r="F1" s="5" t="s">
        <v>1198</v>
      </c>
    </row>
    <row r="2" spans="1:6" ht="31.2" x14ac:dyDescent="0.3">
      <c r="A2" s="6" t="s">
        <v>0</v>
      </c>
      <c r="B2" s="6" t="s">
        <v>1</v>
      </c>
      <c r="C2" s="2">
        <f>DATE(2025,7,28)+TIME(9,0,5)</f>
        <v>45866.375057870369</v>
      </c>
      <c r="D2" s="1" t="s">
        <v>2</v>
      </c>
      <c r="E2" s="1" t="s">
        <v>3</v>
      </c>
      <c r="F2" s="1" t="s">
        <v>4</v>
      </c>
    </row>
    <row r="3" spans="1:6" ht="15.6" x14ac:dyDescent="0.3">
      <c r="A3" s="6" t="s">
        <v>5</v>
      </c>
      <c r="B3" s="6" t="s">
        <v>6</v>
      </c>
      <c r="C3" s="4">
        <f>DATE(2025,7,28)+TIME(7,56,29)</f>
        <v>45866.330891203703</v>
      </c>
      <c r="D3" s="3" t="s">
        <v>7</v>
      </c>
      <c r="E3" s="3" t="s">
        <v>8</v>
      </c>
      <c r="F3" s="3" t="s">
        <v>4</v>
      </c>
    </row>
    <row r="4" spans="1:6" ht="31.2" x14ac:dyDescent="0.3">
      <c r="A4" s="6" t="s">
        <v>9</v>
      </c>
      <c r="B4" s="6" t="s">
        <v>10</v>
      </c>
      <c r="C4" s="2">
        <f>DATE(2025,7,28)+TIME(6,2,1)</f>
        <v>45866.251400462963</v>
      </c>
      <c r="D4" s="1" t="s">
        <v>11</v>
      </c>
      <c r="E4" s="1" t="s">
        <v>12</v>
      </c>
      <c r="F4" s="1" t="s">
        <v>4</v>
      </c>
    </row>
    <row r="5" spans="1:6" ht="31.2" x14ac:dyDescent="0.3">
      <c r="A5" s="6" t="s">
        <v>13</v>
      </c>
      <c r="B5" s="6" t="s">
        <v>14</v>
      </c>
      <c r="C5" s="4">
        <f>DATE(2025,7,27)+TIME(19,39,21)</f>
        <v>45865.818993055553</v>
      </c>
      <c r="D5" s="3" t="s">
        <v>11</v>
      </c>
      <c r="E5" s="3" t="s">
        <v>12</v>
      </c>
      <c r="F5" s="3" t="s">
        <v>4</v>
      </c>
    </row>
    <row r="6" spans="1:6" ht="15.6" x14ac:dyDescent="0.3">
      <c r="A6" s="6" t="s">
        <v>15</v>
      </c>
      <c r="B6" s="6" t="s">
        <v>16</v>
      </c>
      <c r="C6" s="2">
        <f>DATE(2025,7,26)+TIME(8,46,34)</f>
        <v>45864.365671296298</v>
      </c>
      <c r="D6" s="1" t="s">
        <v>17</v>
      </c>
      <c r="E6" s="1" t="s">
        <v>18</v>
      </c>
      <c r="F6" s="1" t="s">
        <v>19</v>
      </c>
    </row>
    <row r="7" spans="1:6" ht="15.6" x14ac:dyDescent="0.3">
      <c r="A7" s="6" t="s">
        <v>20</v>
      </c>
      <c r="B7" s="6" t="s">
        <v>21</v>
      </c>
      <c r="C7" s="4">
        <f>DATE(2025,7,25)+TIME(10,20,4)</f>
        <v>45863.430601851855</v>
      </c>
      <c r="D7" s="3" t="s">
        <v>22</v>
      </c>
      <c r="E7" s="3" t="s">
        <v>23</v>
      </c>
      <c r="F7" s="3" t="s">
        <v>24</v>
      </c>
    </row>
    <row r="8" spans="1:6" ht="15.6" x14ac:dyDescent="0.3">
      <c r="A8" s="6" t="s">
        <v>25</v>
      </c>
      <c r="B8" s="6" t="s">
        <v>26</v>
      </c>
      <c r="C8" s="2">
        <f>DATE(2025,7,25)+TIME(10,13,19)</f>
        <v>45863.42591435185</v>
      </c>
      <c r="D8" s="1" t="s">
        <v>17</v>
      </c>
      <c r="E8" s="1" t="s">
        <v>27</v>
      </c>
      <c r="F8" s="1" t="s">
        <v>4</v>
      </c>
    </row>
    <row r="9" spans="1:6" ht="15.6" x14ac:dyDescent="0.3">
      <c r="A9" s="6" t="s">
        <v>28</v>
      </c>
      <c r="B9" s="6" t="s">
        <v>29</v>
      </c>
      <c r="C9" s="4">
        <f>DATE(2025,7,25)+TIME(10,11,13)</f>
        <v>45863.424456018518</v>
      </c>
      <c r="D9" s="3" t="s">
        <v>17</v>
      </c>
      <c r="E9" s="3" t="s">
        <v>27</v>
      </c>
      <c r="F9" s="3" t="s">
        <v>19</v>
      </c>
    </row>
    <row r="10" spans="1:6" ht="15.6" x14ac:dyDescent="0.3">
      <c r="A10" s="6" t="s">
        <v>30</v>
      </c>
      <c r="B10" s="6" t="s">
        <v>31</v>
      </c>
      <c r="C10" s="2">
        <f>DATE(2025,7,25)+TIME(10,9,26)</f>
        <v>45863.423217592594</v>
      </c>
      <c r="D10" s="1" t="s">
        <v>17</v>
      </c>
      <c r="E10" s="1" t="s">
        <v>27</v>
      </c>
      <c r="F10" s="1" t="s">
        <v>4</v>
      </c>
    </row>
    <row r="11" spans="1:6" ht="15.6" x14ac:dyDescent="0.3">
      <c r="A11" s="6" t="s">
        <v>32</v>
      </c>
      <c r="B11" s="6" t="s">
        <v>33</v>
      </c>
      <c r="C11" s="4">
        <f>DATE(2025,7,25)+TIME(10,6,8)</f>
        <v>45863.420925925922</v>
      </c>
      <c r="D11" s="3" t="s">
        <v>17</v>
      </c>
      <c r="E11" s="3" t="s">
        <v>27</v>
      </c>
      <c r="F11" s="3" t="s">
        <v>4</v>
      </c>
    </row>
    <row r="12" spans="1:6" ht="15.6" x14ac:dyDescent="0.3">
      <c r="A12" s="6" t="s">
        <v>34</v>
      </c>
      <c r="B12" s="6" t="s">
        <v>35</v>
      </c>
      <c r="C12" s="2">
        <f>DATE(2025,7,25)+TIME(10,4,49)</f>
        <v>45863.420011574075</v>
      </c>
      <c r="D12" s="1" t="s">
        <v>17</v>
      </c>
      <c r="E12" s="1" t="s">
        <v>27</v>
      </c>
      <c r="F12" s="1" t="s">
        <v>4</v>
      </c>
    </row>
    <row r="13" spans="1:6" ht="15.6" x14ac:dyDescent="0.3">
      <c r="A13" s="6" t="s">
        <v>36</v>
      </c>
      <c r="B13" s="6" t="s">
        <v>37</v>
      </c>
      <c r="C13" s="4">
        <f>DATE(2025,7,25)+TIME(10,3,26)</f>
        <v>45863.419050925928</v>
      </c>
      <c r="D13" s="3" t="s">
        <v>17</v>
      </c>
      <c r="E13" s="3" t="s">
        <v>27</v>
      </c>
      <c r="F13" s="3" t="s">
        <v>4</v>
      </c>
    </row>
    <row r="14" spans="1:6" ht="15.6" x14ac:dyDescent="0.3">
      <c r="A14" s="6" t="s">
        <v>38</v>
      </c>
      <c r="B14" s="6" t="s">
        <v>39</v>
      </c>
      <c r="C14" s="2">
        <f>DATE(2025,7,25)+TIME(10,1,39)</f>
        <v>45863.417812500003</v>
      </c>
      <c r="D14" s="1" t="s">
        <v>17</v>
      </c>
      <c r="E14" s="1" t="s">
        <v>27</v>
      </c>
      <c r="F14" s="1" t="s">
        <v>4</v>
      </c>
    </row>
    <row r="15" spans="1:6" ht="15.6" x14ac:dyDescent="0.3">
      <c r="A15" s="6" t="s">
        <v>40</v>
      </c>
      <c r="B15" s="6" t="s">
        <v>41</v>
      </c>
      <c r="C15" s="4">
        <f>DATE(2025,7,25)+TIME(9,13,2)</f>
        <v>45863.384050925924</v>
      </c>
      <c r="D15" s="3" t="s">
        <v>22</v>
      </c>
      <c r="E15" s="3" t="s">
        <v>23</v>
      </c>
      <c r="F15" s="3" t="s">
        <v>24</v>
      </c>
    </row>
    <row r="16" spans="1:6" ht="15.6" x14ac:dyDescent="0.3">
      <c r="A16" s="6" t="s">
        <v>42</v>
      </c>
      <c r="B16" s="6" t="s">
        <v>43</v>
      </c>
      <c r="C16" s="2">
        <f>DATE(2025,7,24)+TIME(19,29,34)</f>
        <v>45862.812199074076</v>
      </c>
      <c r="D16" s="1" t="s">
        <v>22</v>
      </c>
      <c r="E16" s="1" t="s">
        <v>44</v>
      </c>
      <c r="F16" s="1" t="s">
        <v>45</v>
      </c>
    </row>
    <row r="17" spans="1:6" ht="15.6" x14ac:dyDescent="0.3">
      <c r="A17" s="6" t="s">
        <v>46</v>
      </c>
      <c r="B17" s="6" t="s">
        <v>47</v>
      </c>
      <c r="C17" s="4">
        <f>DATE(2025,7,24)+TIME(16,44,23)</f>
        <v>45862.697488425925</v>
      </c>
      <c r="D17" s="3" t="s">
        <v>48</v>
      </c>
      <c r="E17" s="3" t="s">
        <v>49</v>
      </c>
      <c r="F17" s="3" t="s">
        <v>50</v>
      </c>
    </row>
    <row r="18" spans="1:6" ht="31.2" x14ac:dyDescent="0.3">
      <c r="A18" s="6" t="s">
        <v>51</v>
      </c>
      <c r="B18" s="6" t="s">
        <v>52</v>
      </c>
      <c r="C18" s="2">
        <f>DATE(2025,7,24)+TIME(15,48,16)</f>
        <v>45862.658518518518</v>
      </c>
      <c r="D18" s="1" t="s">
        <v>48</v>
      </c>
      <c r="E18" s="1" t="s">
        <v>53</v>
      </c>
      <c r="F18" s="1" t="s">
        <v>4</v>
      </c>
    </row>
    <row r="19" spans="1:6" ht="31.2" x14ac:dyDescent="0.3">
      <c r="A19" s="6" t="s">
        <v>54</v>
      </c>
      <c r="B19" s="6" t="s">
        <v>55</v>
      </c>
      <c r="C19" s="4">
        <f>DATE(2025,7,24)+TIME(15,5,48)</f>
        <v>45862.629027777781</v>
      </c>
      <c r="D19" s="3" t="s">
        <v>7</v>
      </c>
      <c r="E19" s="3" t="s">
        <v>56</v>
      </c>
      <c r="F19" s="3" t="s">
        <v>57</v>
      </c>
    </row>
    <row r="20" spans="1:6" ht="15.6" x14ac:dyDescent="0.3">
      <c r="A20" s="6" t="s">
        <v>58</v>
      </c>
      <c r="B20" s="6" t="s">
        <v>59</v>
      </c>
      <c r="C20" s="2">
        <f>DATE(2025,7,24)+TIME(14,17,20)</f>
        <v>45862.595370370371</v>
      </c>
      <c r="D20" s="1" t="s">
        <v>60</v>
      </c>
      <c r="E20" s="1" t="s">
        <v>61</v>
      </c>
      <c r="F20" s="1" t="s">
        <v>4</v>
      </c>
    </row>
    <row r="21" spans="1:6" ht="15.6" x14ac:dyDescent="0.3">
      <c r="A21" s="6" t="s">
        <v>62</v>
      </c>
      <c r="B21" s="6" t="s">
        <v>63</v>
      </c>
      <c r="C21" s="4">
        <f>DATE(2025,7,24)+TIME(12,52,42)</f>
        <v>45862.536597222221</v>
      </c>
      <c r="D21" s="3" t="s">
        <v>17</v>
      </c>
      <c r="E21" s="3" t="s">
        <v>27</v>
      </c>
      <c r="F21" s="3" t="s">
        <v>4</v>
      </c>
    </row>
    <row r="22" spans="1:6" ht="31.2" x14ac:dyDescent="0.3">
      <c r="A22" s="6" t="s">
        <v>64</v>
      </c>
      <c r="B22" s="6" t="s">
        <v>65</v>
      </c>
      <c r="C22" s="2">
        <f>DATE(2025,7,24)+TIME(12,35,16)</f>
        <v>45862.52449074074</v>
      </c>
      <c r="D22" s="1" t="s">
        <v>2</v>
      </c>
      <c r="E22" s="1" t="s">
        <v>3</v>
      </c>
      <c r="F22" s="1" t="s">
        <v>66</v>
      </c>
    </row>
    <row r="23" spans="1:6" ht="15.6" x14ac:dyDescent="0.3">
      <c r="A23" s="6" t="s">
        <v>67</v>
      </c>
      <c r="B23" s="6" t="s">
        <v>68</v>
      </c>
      <c r="C23" s="4">
        <f>DATE(2025,7,24)+TIME(10,47,15)</f>
        <v>45862.449479166666</v>
      </c>
      <c r="D23" s="3" t="s">
        <v>22</v>
      </c>
      <c r="E23" s="3" t="s">
        <v>69</v>
      </c>
      <c r="F23" s="3" t="s">
        <v>19</v>
      </c>
    </row>
    <row r="24" spans="1:6" ht="15.6" x14ac:dyDescent="0.3">
      <c r="A24" s="6" t="s">
        <v>70</v>
      </c>
      <c r="B24" s="6" t="s">
        <v>71</v>
      </c>
      <c r="C24" s="2">
        <f>DATE(2025,7,23)+TIME(18,21,30)</f>
        <v>45861.764930555553</v>
      </c>
      <c r="D24" s="1" t="s">
        <v>72</v>
      </c>
      <c r="E24" s="1" t="s">
        <v>73</v>
      </c>
      <c r="F24" s="1" t="s">
        <v>4</v>
      </c>
    </row>
    <row r="25" spans="1:6" ht="15.6" x14ac:dyDescent="0.3">
      <c r="A25" s="6" t="s">
        <v>74</v>
      </c>
      <c r="B25" s="6" t="s">
        <v>75</v>
      </c>
      <c r="C25" s="4">
        <f>DATE(2025,7,23)+TIME(18,5,24)</f>
        <v>45861.753750000003</v>
      </c>
      <c r="D25" s="3" t="s">
        <v>22</v>
      </c>
      <c r="E25" s="3" t="s">
        <v>44</v>
      </c>
      <c r="F25" s="3" t="s">
        <v>76</v>
      </c>
    </row>
    <row r="26" spans="1:6" ht="31.2" x14ac:dyDescent="0.3">
      <c r="A26" s="6" t="s">
        <v>77</v>
      </c>
      <c r="B26" s="6" t="s">
        <v>78</v>
      </c>
      <c r="C26" s="2">
        <f>DATE(2025,7,23)+TIME(18,0,27)</f>
        <v>45861.7503125</v>
      </c>
      <c r="D26" s="1" t="s">
        <v>22</v>
      </c>
      <c r="E26" s="1" t="s">
        <v>44</v>
      </c>
      <c r="F26" s="1" t="s">
        <v>57</v>
      </c>
    </row>
    <row r="27" spans="1:6" ht="15.6" x14ac:dyDescent="0.3">
      <c r="A27" s="6" t="s">
        <v>79</v>
      </c>
      <c r="B27" s="6" t="s">
        <v>80</v>
      </c>
      <c r="C27" s="4">
        <f>DATE(2025,7,23)+TIME(17,28,15)</f>
        <v>45861.727951388886</v>
      </c>
      <c r="D27" s="3" t="s">
        <v>22</v>
      </c>
      <c r="E27" s="3" t="s">
        <v>44</v>
      </c>
      <c r="F27" s="3" t="s">
        <v>76</v>
      </c>
    </row>
    <row r="28" spans="1:6" ht="15.6" x14ac:dyDescent="0.3">
      <c r="A28" s="6" t="s">
        <v>81</v>
      </c>
      <c r="B28" s="6" t="s">
        <v>82</v>
      </c>
      <c r="C28" s="2">
        <f>DATE(2025,7,23)+TIME(16,46,15)</f>
        <v>45861.698784722219</v>
      </c>
      <c r="D28" s="1" t="s">
        <v>60</v>
      </c>
      <c r="E28" s="1" t="s">
        <v>83</v>
      </c>
      <c r="F28" s="1" t="s">
        <v>84</v>
      </c>
    </row>
    <row r="29" spans="1:6" ht="15.6" x14ac:dyDescent="0.3">
      <c r="A29" s="6" t="s">
        <v>85</v>
      </c>
      <c r="B29" s="6" t="s">
        <v>86</v>
      </c>
      <c r="C29" s="4">
        <f>DATE(2025,7,23)+TIME(15,17,35)</f>
        <v>45861.63721064815</v>
      </c>
      <c r="D29" s="3" t="s">
        <v>87</v>
      </c>
      <c r="E29" s="3" t="s">
        <v>88</v>
      </c>
      <c r="F29" s="3" t="s">
        <v>4</v>
      </c>
    </row>
    <row r="30" spans="1:6" ht="31.2" x14ac:dyDescent="0.3">
      <c r="A30" s="6" t="s">
        <v>89</v>
      </c>
      <c r="B30" s="6" t="s">
        <v>39</v>
      </c>
      <c r="C30" s="2">
        <f>DATE(2025,7,23)+TIME(12,22,54)</f>
        <v>45861.515902777777</v>
      </c>
      <c r="D30" s="1" t="s">
        <v>90</v>
      </c>
      <c r="E30" s="1" t="s">
        <v>91</v>
      </c>
      <c r="F30" s="1" t="s">
        <v>92</v>
      </c>
    </row>
    <row r="31" spans="1:6" ht="15.6" x14ac:dyDescent="0.3">
      <c r="A31" s="6" t="s">
        <v>93</v>
      </c>
      <c r="B31" s="6" t="s">
        <v>94</v>
      </c>
      <c r="C31" s="4">
        <f>DATE(2025,7,23)+TIME(12,20,8)</f>
        <v>45861.513981481483</v>
      </c>
      <c r="D31" s="3" t="s">
        <v>7</v>
      </c>
      <c r="E31" s="3" t="s">
        <v>8</v>
      </c>
      <c r="F31" s="3" t="s">
        <v>76</v>
      </c>
    </row>
    <row r="32" spans="1:6" ht="15.6" x14ac:dyDescent="0.3">
      <c r="A32" s="6" t="s">
        <v>95</v>
      </c>
      <c r="B32" s="6" t="s">
        <v>96</v>
      </c>
      <c r="C32" s="2">
        <f>DATE(2025,7,23)+TIME(12,11,31)</f>
        <v>45861.507997685185</v>
      </c>
      <c r="D32" s="1" t="s">
        <v>7</v>
      </c>
      <c r="E32" s="1" t="s">
        <v>8</v>
      </c>
      <c r="F32" s="1" t="s">
        <v>4</v>
      </c>
    </row>
    <row r="33" spans="1:6" ht="31.2" x14ac:dyDescent="0.3">
      <c r="A33" s="6" t="s">
        <v>97</v>
      </c>
      <c r="B33" s="6" t="s">
        <v>98</v>
      </c>
      <c r="C33" s="4">
        <f>DATE(2025,7,23)+TIME(12,5,17)</f>
        <v>45861.503668981481</v>
      </c>
      <c r="D33" s="3" t="s">
        <v>7</v>
      </c>
      <c r="E33" s="3" t="s">
        <v>56</v>
      </c>
      <c r="F33" s="3" t="s">
        <v>4</v>
      </c>
    </row>
    <row r="34" spans="1:6" ht="15.6" x14ac:dyDescent="0.3">
      <c r="A34" s="6" t="s">
        <v>99</v>
      </c>
      <c r="B34" s="6" t="s">
        <v>100</v>
      </c>
      <c r="C34" s="2">
        <f>DATE(2025,7,23)+TIME(12,2,6)</f>
        <v>45861.501458333332</v>
      </c>
      <c r="D34" s="1" t="s">
        <v>7</v>
      </c>
      <c r="E34" s="1" t="s">
        <v>8</v>
      </c>
      <c r="F34" s="1" t="s">
        <v>24</v>
      </c>
    </row>
    <row r="35" spans="1:6" ht="15.6" x14ac:dyDescent="0.3">
      <c r="A35" s="6" t="s">
        <v>101</v>
      </c>
      <c r="B35" s="6" t="s">
        <v>102</v>
      </c>
      <c r="C35" s="4">
        <f>DATE(2025,7,23)+TIME(11,58,41)</f>
        <v>45861.499085648145</v>
      </c>
      <c r="D35" s="3" t="s">
        <v>60</v>
      </c>
      <c r="E35" s="3" t="s">
        <v>103</v>
      </c>
      <c r="F35" s="3" t="s">
        <v>66</v>
      </c>
    </row>
    <row r="36" spans="1:6" ht="15.6" x14ac:dyDescent="0.3">
      <c r="A36" s="6" t="s">
        <v>104</v>
      </c>
      <c r="B36" s="6" t="s">
        <v>105</v>
      </c>
      <c r="C36" s="2">
        <f>DATE(2025,7,23)+TIME(11,57,11)</f>
        <v>45861.498043981483</v>
      </c>
      <c r="D36" s="1" t="s">
        <v>7</v>
      </c>
      <c r="E36" s="1" t="s">
        <v>8</v>
      </c>
      <c r="F36" s="1" t="s">
        <v>4</v>
      </c>
    </row>
    <row r="37" spans="1:6" ht="15.6" x14ac:dyDescent="0.3">
      <c r="A37" s="6" t="s">
        <v>106</v>
      </c>
      <c r="B37" s="6" t="s">
        <v>107</v>
      </c>
      <c r="C37" s="4">
        <f>DATE(2025,7,23)+TIME(11,49,14)</f>
        <v>45861.492523148147</v>
      </c>
      <c r="D37" s="3" t="s">
        <v>7</v>
      </c>
      <c r="E37" s="3" t="s">
        <v>8</v>
      </c>
      <c r="F37" s="3" t="s">
        <v>4</v>
      </c>
    </row>
    <row r="38" spans="1:6" ht="15.6" x14ac:dyDescent="0.3">
      <c r="A38" s="6" t="s">
        <v>108</v>
      </c>
      <c r="B38" s="6" t="s">
        <v>109</v>
      </c>
      <c r="C38" s="2">
        <f>DATE(2025,7,23)+TIME(11,37,52)</f>
        <v>45861.484629629631</v>
      </c>
      <c r="D38" s="1" t="s">
        <v>7</v>
      </c>
      <c r="E38" s="1" t="s">
        <v>8</v>
      </c>
      <c r="F38" s="1" t="s">
        <v>19</v>
      </c>
    </row>
    <row r="39" spans="1:6" ht="15.6" x14ac:dyDescent="0.3">
      <c r="A39" s="6" t="s">
        <v>110</v>
      </c>
      <c r="B39" s="6" t="s">
        <v>111</v>
      </c>
      <c r="C39" s="4">
        <f>DATE(2025,7,23)+TIME(9,20,26)</f>
        <v>45861.389189814814</v>
      </c>
      <c r="D39" s="3" t="s">
        <v>17</v>
      </c>
      <c r="E39" s="3" t="s">
        <v>27</v>
      </c>
      <c r="F39" s="3" t="s">
        <v>112</v>
      </c>
    </row>
    <row r="40" spans="1:6" ht="15.6" x14ac:dyDescent="0.3">
      <c r="A40" s="6" t="s">
        <v>113</v>
      </c>
      <c r="B40" s="6" t="s">
        <v>114</v>
      </c>
      <c r="C40" s="2">
        <f>DATE(2025,7,23)+TIME(8,55,38)</f>
        <v>45861.371967592589</v>
      </c>
      <c r="D40" s="1" t="s">
        <v>87</v>
      </c>
      <c r="E40" s="1" t="s">
        <v>88</v>
      </c>
      <c r="F40" s="1" t="s">
        <v>24</v>
      </c>
    </row>
    <row r="41" spans="1:6" ht="31.2" x14ac:dyDescent="0.3">
      <c r="A41" s="6" t="s">
        <v>115</v>
      </c>
      <c r="B41" s="6" t="s">
        <v>116</v>
      </c>
      <c r="C41" s="4">
        <f>DATE(2025,7,23)+TIME(8,12,51)</f>
        <v>45861.342256944445</v>
      </c>
      <c r="D41" s="3" t="s">
        <v>117</v>
      </c>
      <c r="E41" s="3" t="s">
        <v>118</v>
      </c>
      <c r="F41" s="3" t="s">
        <v>119</v>
      </c>
    </row>
    <row r="42" spans="1:6" ht="31.2" x14ac:dyDescent="0.3">
      <c r="A42" s="6" t="s">
        <v>120</v>
      </c>
      <c r="B42" s="6" t="s">
        <v>121</v>
      </c>
      <c r="C42" s="2">
        <f>DATE(2025,7,23)+TIME(7,30,8)</f>
        <v>45861.312592592592</v>
      </c>
      <c r="D42" s="1" t="s">
        <v>2</v>
      </c>
      <c r="E42" s="1" t="s">
        <v>3</v>
      </c>
      <c r="F42" s="1" t="s">
        <v>4</v>
      </c>
    </row>
    <row r="43" spans="1:6" ht="31.2" x14ac:dyDescent="0.3">
      <c r="A43" s="6" t="s">
        <v>122</v>
      </c>
      <c r="B43" s="6" t="s">
        <v>123</v>
      </c>
      <c r="C43" s="4">
        <f>DATE(2025,7,23)+TIME(6,30,52)</f>
        <v>45861.271435185183</v>
      </c>
      <c r="D43" s="3" t="s">
        <v>2</v>
      </c>
      <c r="E43" s="3" t="s">
        <v>124</v>
      </c>
      <c r="F43" s="3" t="s">
        <v>4</v>
      </c>
    </row>
    <row r="44" spans="1:6" ht="15.6" x14ac:dyDescent="0.3">
      <c r="A44" s="6" t="s">
        <v>125</v>
      </c>
      <c r="B44" s="6" t="s">
        <v>126</v>
      </c>
      <c r="C44" s="2">
        <f>DATE(2025,7,23)+TIME(1,9,39)</f>
        <v>45861.048368055555</v>
      </c>
      <c r="D44" s="1" t="s">
        <v>48</v>
      </c>
      <c r="E44" s="1" t="s">
        <v>127</v>
      </c>
      <c r="F44" s="1" t="s">
        <v>84</v>
      </c>
    </row>
    <row r="45" spans="1:6" ht="31.2" x14ac:dyDescent="0.3">
      <c r="A45" s="6" t="s">
        <v>128</v>
      </c>
      <c r="B45" s="6" t="s">
        <v>129</v>
      </c>
      <c r="C45" s="4">
        <f>DATE(2025,7,22)+TIME(17,2,46)</f>
        <v>45860.71025462963</v>
      </c>
      <c r="D45" s="3" t="s">
        <v>7</v>
      </c>
      <c r="E45" s="3" t="s">
        <v>56</v>
      </c>
      <c r="F45" s="3" t="s">
        <v>130</v>
      </c>
    </row>
    <row r="46" spans="1:6" ht="31.2" x14ac:dyDescent="0.3">
      <c r="A46" s="6" t="s">
        <v>131</v>
      </c>
      <c r="B46" s="6" t="s">
        <v>132</v>
      </c>
      <c r="C46" s="2">
        <f>DATE(2025,7,22)+TIME(16,52,4)</f>
        <v>45860.702824074076</v>
      </c>
      <c r="D46" s="1" t="s">
        <v>2</v>
      </c>
      <c r="E46" s="1" t="s">
        <v>124</v>
      </c>
      <c r="F46" s="1" t="s">
        <v>66</v>
      </c>
    </row>
    <row r="47" spans="1:6" ht="15.6" x14ac:dyDescent="0.3">
      <c r="A47" s="6" t="s">
        <v>133</v>
      </c>
      <c r="B47" s="6" t="s">
        <v>134</v>
      </c>
      <c r="C47" s="4">
        <f>DATE(2025,7,22)+TIME(15,51,13)</f>
        <v>45860.660567129627</v>
      </c>
      <c r="D47" s="3" t="s">
        <v>22</v>
      </c>
      <c r="E47" s="3" t="s">
        <v>135</v>
      </c>
      <c r="F47" s="3" t="s">
        <v>45</v>
      </c>
    </row>
    <row r="48" spans="1:6" ht="15.6" x14ac:dyDescent="0.3">
      <c r="A48" s="6" t="s">
        <v>136</v>
      </c>
      <c r="B48" s="6" t="s">
        <v>137</v>
      </c>
      <c r="C48" s="2">
        <f>DATE(2025,7,22)+TIME(15,44,8)</f>
        <v>45860.655648148146</v>
      </c>
      <c r="D48" s="1" t="s">
        <v>87</v>
      </c>
      <c r="E48" s="1" t="s">
        <v>138</v>
      </c>
      <c r="F48" s="1" t="s">
        <v>24</v>
      </c>
    </row>
    <row r="49" spans="1:6" ht="15.6" x14ac:dyDescent="0.3">
      <c r="A49" s="6" t="s">
        <v>139</v>
      </c>
      <c r="B49" s="6" t="s">
        <v>140</v>
      </c>
      <c r="C49" s="4">
        <f>DATE(2025,7,22)+TIME(14,57,53)</f>
        <v>45860.623530092591</v>
      </c>
      <c r="D49" s="3" t="s">
        <v>48</v>
      </c>
      <c r="E49" s="3" t="s">
        <v>127</v>
      </c>
      <c r="F49" s="3" t="s">
        <v>141</v>
      </c>
    </row>
    <row r="50" spans="1:6" ht="15.6" x14ac:dyDescent="0.3">
      <c r="A50" s="6" t="s">
        <v>142</v>
      </c>
      <c r="B50" s="6" t="s">
        <v>143</v>
      </c>
      <c r="C50" s="2">
        <f>DATE(2025,7,22)+TIME(14,57,49)</f>
        <v>45860.623483796298</v>
      </c>
      <c r="D50" s="1" t="s">
        <v>7</v>
      </c>
      <c r="E50" s="1" t="s">
        <v>144</v>
      </c>
      <c r="F50" s="1" t="s">
        <v>4</v>
      </c>
    </row>
    <row r="51" spans="1:6" ht="15.6" x14ac:dyDescent="0.3">
      <c r="A51" s="6" t="s">
        <v>145</v>
      </c>
      <c r="B51" s="6" t="s">
        <v>146</v>
      </c>
      <c r="C51" s="4">
        <f>DATE(2025,7,22)+TIME(14,54,18)</f>
        <v>45860.621041666665</v>
      </c>
      <c r="D51" s="3" t="s">
        <v>7</v>
      </c>
      <c r="E51" s="3" t="s">
        <v>144</v>
      </c>
      <c r="F51" s="3" t="s">
        <v>19</v>
      </c>
    </row>
    <row r="52" spans="1:6" ht="15.6" x14ac:dyDescent="0.3">
      <c r="A52" s="6" t="s">
        <v>147</v>
      </c>
      <c r="B52" s="6" t="s">
        <v>148</v>
      </c>
      <c r="C52" s="2">
        <f>DATE(2025,7,22)+TIME(14,43,47)</f>
        <v>45860.613738425927</v>
      </c>
      <c r="D52" s="1" t="s">
        <v>117</v>
      </c>
      <c r="E52" s="1" t="s">
        <v>149</v>
      </c>
      <c r="F52" s="1" t="s">
        <v>4</v>
      </c>
    </row>
    <row r="53" spans="1:6" ht="31.2" x14ac:dyDescent="0.3">
      <c r="A53" s="6" t="s">
        <v>150</v>
      </c>
      <c r="B53" s="6" t="s">
        <v>151</v>
      </c>
      <c r="C53" s="4">
        <f>DATE(2025,7,22)+TIME(14,38,33)</f>
        <v>45860.61010416667</v>
      </c>
      <c r="D53" s="3" t="s">
        <v>7</v>
      </c>
      <c r="E53" s="3" t="s">
        <v>56</v>
      </c>
      <c r="F53" s="3" t="s">
        <v>4</v>
      </c>
    </row>
    <row r="54" spans="1:6" ht="31.2" x14ac:dyDescent="0.3">
      <c r="A54" s="6" t="s">
        <v>152</v>
      </c>
      <c r="B54" s="6" t="s">
        <v>153</v>
      </c>
      <c r="C54" s="2">
        <f>DATE(2025,7,22)+TIME(13,58,53)</f>
        <v>45860.582557870373</v>
      </c>
      <c r="D54" s="1" t="s">
        <v>7</v>
      </c>
      <c r="E54" s="1" t="s">
        <v>56</v>
      </c>
      <c r="F54" s="1" t="s">
        <v>154</v>
      </c>
    </row>
    <row r="55" spans="1:6" ht="15.6" x14ac:dyDescent="0.3">
      <c r="A55" s="6" t="s">
        <v>155</v>
      </c>
      <c r="B55" s="6" t="s">
        <v>156</v>
      </c>
      <c r="C55" s="4">
        <f>DATE(2025,7,22)+TIME(13,57,9)</f>
        <v>45860.581354166665</v>
      </c>
      <c r="D55" s="3" t="s">
        <v>7</v>
      </c>
      <c r="E55" s="3" t="s">
        <v>157</v>
      </c>
      <c r="F55" s="3" t="s">
        <v>4</v>
      </c>
    </row>
    <row r="56" spans="1:6" ht="31.2" x14ac:dyDescent="0.3">
      <c r="A56" s="6" t="s">
        <v>147</v>
      </c>
      <c r="B56" s="6" t="s">
        <v>158</v>
      </c>
      <c r="C56" s="2">
        <f>DATE(2025,7,22)+TIME(13,55,8)</f>
        <v>45860.579953703702</v>
      </c>
      <c r="D56" s="1" t="s">
        <v>2</v>
      </c>
      <c r="E56" s="1" t="s">
        <v>124</v>
      </c>
      <c r="F56" s="1" t="s">
        <v>159</v>
      </c>
    </row>
    <row r="57" spans="1:6" ht="31.2" x14ac:dyDescent="0.3">
      <c r="A57" s="6" t="s">
        <v>160</v>
      </c>
      <c r="B57" s="6" t="s">
        <v>161</v>
      </c>
      <c r="C57" s="4">
        <f>DATE(2025,7,22)+TIME(13,51,3)</f>
        <v>45860.577118055553</v>
      </c>
      <c r="D57" s="3" t="s">
        <v>7</v>
      </c>
      <c r="E57" s="3" t="s">
        <v>56</v>
      </c>
      <c r="F57" s="3" t="s">
        <v>4</v>
      </c>
    </row>
    <row r="58" spans="1:6" ht="31.2" x14ac:dyDescent="0.3">
      <c r="A58" s="6" t="s">
        <v>162</v>
      </c>
      <c r="B58" s="6" t="s">
        <v>163</v>
      </c>
      <c r="C58" s="2">
        <f>DATE(2025,7,22)+TIME(13,37,40)</f>
        <v>45860.567824074074</v>
      </c>
      <c r="D58" s="1" t="s">
        <v>7</v>
      </c>
      <c r="E58" s="1" t="s">
        <v>56</v>
      </c>
      <c r="F58" s="1" t="s">
        <v>4</v>
      </c>
    </row>
    <row r="59" spans="1:6" ht="31.2" x14ac:dyDescent="0.3">
      <c r="A59" s="6" t="s">
        <v>164</v>
      </c>
      <c r="B59" s="6" t="s">
        <v>165</v>
      </c>
      <c r="C59" s="4">
        <f>DATE(2025,7,22)+TIME(13,33,28)</f>
        <v>45860.56490740741</v>
      </c>
      <c r="D59" s="3" t="s">
        <v>7</v>
      </c>
      <c r="E59" s="3" t="s">
        <v>56</v>
      </c>
      <c r="F59" s="3" t="s">
        <v>84</v>
      </c>
    </row>
    <row r="60" spans="1:6" ht="31.2" x14ac:dyDescent="0.3">
      <c r="A60" s="6" t="s">
        <v>166</v>
      </c>
      <c r="B60" s="6" t="s">
        <v>167</v>
      </c>
      <c r="C60" s="2">
        <f>DATE(2025,7,22)+TIME(13,23,32)</f>
        <v>45860.558009259257</v>
      </c>
      <c r="D60" s="1" t="s">
        <v>60</v>
      </c>
      <c r="E60" s="1" t="s">
        <v>168</v>
      </c>
      <c r="F60" s="1" t="s">
        <v>57</v>
      </c>
    </row>
    <row r="61" spans="1:6" ht="15.6" x14ac:dyDescent="0.3">
      <c r="A61" s="6" t="s">
        <v>169</v>
      </c>
      <c r="B61" s="6" t="s">
        <v>170</v>
      </c>
      <c r="C61" s="4">
        <f>DATE(2025,7,22)+TIME(11,10,48)</f>
        <v>45860.465833333335</v>
      </c>
      <c r="D61" s="3" t="s">
        <v>48</v>
      </c>
      <c r="E61" s="3" t="s">
        <v>127</v>
      </c>
      <c r="F61" s="3" t="s">
        <v>159</v>
      </c>
    </row>
    <row r="62" spans="1:6" ht="15.6" x14ac:dyDescent="0.3">
      <c r="A62" s="6" t="s">
        <v>171</v>
      </c>
      <c r="B62" s="6" t="s">
        <v>129</v>
      </c>
      <c r="C62" s="2">
        <f>DATE(2025,7,22)+TIME(11,10,0)</f>
        <v>45860.465277777781</v>
      </c>
      <c r="D62" s="1" t="s">
        <v>7</v>
      </c>
      <c r="E62" s="1" t="s">
        <v>144</v>
      </c>
      <c r="F62" s="1" t="s">
        <v>172</v>
      </c>
    </row>
    <row r="63" spans="1:6" ht="15.6" x14ac:dyDescent="0.3">
      <c r="A63" s="6" t="s">
        <v>173</v>
      </c>
      <c r="B63" s="6" t="s">
        <v>174</v>
      </c>
      <c r="C63" s="4">
        <f>DATE(2025,7,22)+TIME(11,8,53)</f>
        <v>45860.464502314811</v>
      </c>
      <c r="D63" s="3" t="s">
        <v>48</v>
      </c>
      <c r="E63" s="3" t="s">
        <v>175</v>
      </c>
      <c r="F63" s="3" t="s">
        <v>66</v>
      </c>
    </row>
    <row r="64" spans="1:6" ht="15.6" x14ac:dyDescent="0.3">
      <c r="A64" s="6" t="s">
        <v>108</v>
      </c>
      <c r="B64" s="6" t="s">
        <v>176</v>
      </c>
      <c r="C64" s="2">
        <f>DATE(2025,7,22)+TIME(11,7,42)</f>
        <v>45860.463680555556</v>
      </c>
      <c r="D64" s="1" t="s">
        <v>72</v>
      </c>
      <c r="E64" s="1" t="s">
        <v>73</v>
      </c>
      <c r="F64" s="1" t="s">
        <v>84</v>
      </c>
    </row>
    <row r="65" spans="1:6" ht="15.6" x14ac:dyDescent="0.3">
      <c r="A65" s="6" t="s">
        <v>177</v>
      </c>
      <c r="B65" s="6" t="s">
        <v>178</v>
      </c>
      <c r="C65" s="4">
        <f>DATE(2025,7,22)+TIME(11,4,15)</f>
        <v>45860.461284722223</v>
      </c>
      <c r="D65" s="3" t="s">
        <v>48</v>
      </c>
      <c r="E65" s="3" t="s">
        <v>127</v>
      </c>
      <c r="F65" s="3" t="s">
        <v>45</v>
      </c>
    </row>
    <row r="66" spans="1:6" ht="15.6" x14ac:dyDescent="0.3">
      <c r="A66" s="6" t="s">
        <v>179</v>
      </c>
      <c r="B66" s="6" t="s">
        <v>180</v>
      </c>
      <c r="C66" s="2">
        <f>DATE(2025,7,22)+TIME(11,2,33)</f>
        <v>45860.460104166668</v>
      </c>
      <c r="D66" s="1" t="s">
        <v>48</v>
      </c>
      <c r="E66" s="1" t="s">
        <v>127</v>
      </c>
      <c r="F66" s="1" t="s">
        <v>130</v>
      </c>
    </row>
    <row r="67" spans="1:6" ht="15.6" x14ac:dyDescent="0.3">
      <c r="A67" s="6" t="s">
        <v>181</v>
      </c>
      <c r="B67" s="6" t="s">
        <v>182</v>
      </c>
      <c r="C67" s="4">
        <f>DATE(2025,7,22)+TIME(10,59,50)</f>
        <v>45860.45821759259</v>
      </c>
      <c r="D67" s="3" t="s">
        <v>72</v>
      </c>
      <c r="E67" s="3" t="s">
        <v>73</v>
      </c>
      <c r="F67" s="3" t="s">
        <v>183</v>
      </c>
    </row>
    <row r="68" spans="1:6" ht="15.6" x14ac:dyDescent="0.3">
      <c r="A68" s="6" t="s">
        <v>184</v>
      </c>
      <c r="B68" s="6" t="s">
        <v>185</v>
      </c>
      <c r="C68" s="2">
        <f>DATE(2025,7,22)+TIME(10,54,52)</f>
        <v>45860.454768518517</v>
      </c>
      <c r="D68" s="1" t="s">
        <v>7</v>
      </c>
      <c r="E68" s="1" t="s">
        <v>144</v>
      </c>
      <c r="F68" s="1" t="s">
        <v>4</v>
      </c>
    </row>
    <row r="69" spans="1:6" ht="15.6" x14ac:dyDescent="0.3">
      <c r="A69" s="6" t="s">
        <v>186</v>
      </c>
      <c r="B69" s="6" t="s">
        <v>187</v>
      </c>
      <c r="C69" s="4">
        <f>DATE(2025,7,22)+TIME(10,51,50)</f>
        <v>45860.452662037038</v>
      </c>
      <c r="D69" s="3" t="s">
        <v>7</v>
      </c>
      <c r="E69" s="3" t="s">
        <v>144</v>
      </c>
      <c r="F69" s="3" t="s">
        <v>4</v>
      </c>
    </row>
    <row r="70" spans="1:6" ht="15.6" x14ac:dyDescent="0.3">
      <c r="A70" s="6" t="s">
        <v>188</v>
      </c>
      <c r="B70" s="6" t="s">
        <v>189</v>
      </c>
      <c r="C70" s="2">
        <f>DATE(2025,7,22)+TIME(10,51,37)</f>
        <v>45860.452511574076</v>
      </c>
      <c r="D70" s="1" t="s">
        <v>7</v>
      </c>
      <c r="E70" s="1" t="s">
        <v>144</v>
      </c>
      <c r="F70" s="1" t="s">
        <v>45</v>
      </c>
    </row>
    <row r="71" spans="1:6" ht="15.6" x14ac:dyDescent="0.3">
      <c r="A71" s="6" t="s">
        <v>190</v>
      </c>
      <c r="B71" s="6" t="s">
        <v>191</v>
      </c>
      <c r="C71" s="4">
        <f>DATE(2025,7,22)+TIME(10,48,46)</f>
        <v>45860.450532407405</v>
      </c>
      <c r="D71" s="3" t="s">
        <v>7</v>
      </c>
      <c r="E71" s="3" t="s">
        <v>144</v>
      </c>
      <c r="F71" s="3" t="s">
        <v>4</v>
      </c>
    </row>
    <row r="72" spans="1:6" ht="15.6" x14ac:dyDescent="0.3">
      <c r="A72" s="6" t="s">
        <v>192</v>
      </c>
      <c r="B72" s="6" t="s">
        <v>86</v>
      </c>
      <c r="C72" s="2">
        <f>DATE(2025,7,22)+TIME(10,46,52)</f>
        <v>45860.449212962965</v>
      </c>
      <c r="D72" s="1" t="s">
        <v>48</v>
      </c>
      <c r="E72" s="1" t="s">
        <v>127</v>
      </c>
      <c r="F72" s="1" t="s">
        <v>76</v>
      </c>
    </row>
    <row r="73" spans="1:6" ht="31.2" x14ac:dyDescent="0.3">
      <c r="A73" s="6" t="s">
        <v>193</v>
      </c>
      <c r="B73" s="6" t="s">
        <v>194</v>
      </c>
      <c r="C73" s="4">
        <f>DATE(2025,7,22)+TIME(10,41,44)</f>
        <v>45860.445648148147</v>
      </c>
      <c r="D73" s="3" t="s">
        <v>117</v>
      </c>
      <c r="E73" s="3" t="s">
        <v>118</v>
      </c>
      <c r="F73" s="3" t="s">
        <v>24</v>
      </c>
    </row>
    <row r="74" spans="1:6" ht="15.6" x14ac:dyDescent="0.3">
      <c r="A74" s="6" t="s">
        <v>195</v>
      </c>
      <c r="B74" s="6" t="s">
        <v>185</v>
      </c>
      <c r="C74" s="2">
        <f>DATE(2025,7,22)+TIME(10,29,43)</f>
        <v>45860.437303240738</v>
      </c>
      <c r="D74" s="1" t="s">
        <v>7</v>
      </c>
      <c r="E74" s="1" t="s">
        <v>144</v>
      </c>
      <c r="F74" s="1" t="s">
        <v>66</v>
      </c>
    </row>
    <row r="75" spans="1:6" ht="15.6" x14ac:dyDescent="0.3">
      <c r="A75" s="6" t="s">
        <v>196</v>
      </c>
      <c r="B75" s="6" t="s">
        <v>197</v>
      </c>
      <c r="C75" s="4">
        <f>DATE(2025,7,22)+TIME(10,28,35)</f>
        <v>45860.436516203707</v>
      </c>
      <c r="D75" s="3" t="s">
        <v>2</v>
      </c>
      <c r="E75" s="3" t="s">
        <v>198</v>
      </c>
      <c r="F75" s="3" t="s">
        <v>199</v>
      </c>
    </row>
    <row r="76" spans="1:6" ht="15.6" x14ac:dyDescent="0.3">
      <c r="A76" s="6" t="s">
        <v>200</v>
      </c>
      <c r="B76" s="6" t="s">
        <v>201</v>
      </c>
      <c r="C76" s="2">
        <f>DATE(2025,7,22)+TIME(10,27,55)</f>
        <v>45860.436053240737</v>
      </c>
      <c r="D76" s="1" t="s">
        <v>7</v>
      </c>
      <c r="E76" s="1" t="s">
        <v>144</v>
      </c>
      <c r="F76" s="1" t="s">
        <v>130</v>
      </c>
    </row>
    <row r="77" spans="1:6" ht="15.6" x14ac:dyDescent="0.3">
      <c r="A77" s="6" t="s">
        <v>202</v>
      </c>
      <c r="B77" s="6" t="s">
        <v>203</v>
      </c>
      <c r="C77" s="4">
        <f>DATE(2025,7,22)+TIME(10,25,43)</f>
        <v>45860.434525462966</v>
      </c>
      <c r="D77" s="3" t="s">
        <v>7</v>
      </c>
      <c r="E77" s="3" t="s">
        <v>144</v>
      </c>
      <c r="F77" s="3" t="s">
        <v>4</v>
      </c>
    </row>
    <row r="78" spans="1:6" ht="15.6" x14ac:dyDescent="0.3">
      <c r="A78" s="6" t="s">
        <v>204</v>
      </c>
      <c r="B78" s="6" t="s">
        <v>205</v>
      </c>
      <c r="C78" s="2">
        <f>DATE(2025,7,22)+TIME(10,23,44)</f>
        <v>45860.433148148149</v>
      </c>
      <c r="D78" s="1" t="s">
        <v>7</v>
      </c>
      <c r="E78" s="1" t="s">
        <v>144</v>
      </c>
      <c r="F78" s="1" t="s">
        <v>84</v>
      </c>
    </row>
    <row r="79" spans="1:6" ht="15.6" x14ac:dyDescent="0.3">
      <c r="A79" s="6" t="s">
        <v>206</v>
      </c>
      <c r="B79" s="6" t="s">
        <v>207</v>
      </c>
      <c r="C79" s="4">
        <f>DATE(2025,7,22)+TIME(10,23,6)</f>
        <v>45860.432708333334</v>
      </c>
      <c r="D79" s="3" t="s">
        <v>60</v>
      </c>
      <c r="E79" s="3" t="s">
        <v>61</v>
      </c>
      <c r="F79" s="3" t="s">
        <v>4</v>
      </c>
    </row>
    <row r="80" spans="1:6" ht="31.2" x14ac:dyDescent="0.3">
      <c r="A80" s="6" t="s">
        <v>208</v>
      </c>
      <c r="B80" s="6" t="s">
        <v>209</v>
      </c>
      <c r="C80" s="2">
        <f>DATE(2025,7,22)+TIME(10,21,57)</f>
        <v>45860.431909722225</v>
      </c>
      <c r="D80" s="1" t="s">
        <v>7</v>
      </c>
      <c r="E80" s="1" t="s">
        <v>56</v>
      </c>
      <c r="F80" s="1" t="s">
        <v>172</v>
      </c>
    </row>
    <row r="81" spans="1:6" ht="15.6" x14ac:dyDescent="0.3">
      <c r="A81" s="6" t="s">
        <v>210</v>
      </c>
      <c r="B81" s="6" t="s">
        <v>211</v>
      </c>
      <c r="C81" s="4">
        <f>DATE(2025,7,22)+TIME(10,8,41)</f>
        <v>45860.422696759262</v>
      </c>
      <c r="D81" s="3" t="s">
        <v>22</v>
      </c>
      <c r="E81" s="3" t="s">
        <v>135</v>
      </c>
      <c r="F81" s="3" t="s">
        <v>4</v>
      </c>
    </row>
    <row r="82" spans="1:6" ht="15.6" x14ac:dyDescent="0.3">
      <c r="A82" s="6" t="s">
        <v>212</v>
      </c>
      <c r="B82" s="6" t="s">
        <v>213</v>
      </c>
      <c r="C82" s="2">
        <f>DATE(2025,7,22)+TIME(9,59,58)</f>
        <v>45860.416643518518</v>
      </c>
      <c r="D82" s="1" t="s">
        <v>7</v>
      </c>
      <c r="E82" s="1" t="s">
        <v>8</v>
      </c>
      <c r="F82" s="1" t="s">
        <v>172</v>
      </c>
    </row>
    <row r="83" spans="1:6" ht="15.6" x14ac:dyDescent="0.3">
      <c r="A83" s="6" t="s">
        <v>214</v>
      </c>
      <c r="B83" s="6" t="s">
        <v>215</v>
      </c>
      <c r="C83" s="4">
        <f>DATE(2025,7,22)+TIME(9,50,25)</f>
        <v>45860.410011574073</v>
      </c>
      <c r="D83" s="3" t="s">
        <v>48</v>
      </c>
      <c r="E83" s="3" t="s">
        <v>127</v>
      </c>
      <c r="F83" s="3" t="s">
        <v>4</v>
      </c>
    </row>
    <row r="84" spans="1:6" ht="31.2" x14ac:dyDescent="0.3">
      <c r="A84" s="6" t="s">
        <v>54</v>
      </c>
      <c r="B84" s="6" t="s">
        <v>216</v>
      </c>
      <c r="C84" s="2">
        <f>DATE(2025,7,22)+TIME(9,41,9)</f>
        <v>45860.40357638889</v>
      </c>
      <c r="D84" s="1" t="s">
        <v>48</v>
      </c>
      <c r="E84" s="1" t="s">
        <v>53</v>
      </c>
      <c r="F84" s="1" t="s">
        <v>57</v>
      </c>
    </row>
    <row r="85" spans="1:6" ht="15.6" x14ac:dyDescent="0.3">
      <c r="A85" s="6" t="s">
        <v>217</v>
      </c>
      <c r="B85" s="6" t="s">
        <v>218</v>
      </c>
      <c r="C85" s="4">
        <f>DATE(2025,7,22)+TIME(9,36,50)</f>
        <v>45860.400578703702</v>
      </c>
      <c r="D85" s="3" t="s">
        <v>22</v>
      </c>
      <c r="E85" s="3" t="s">
        <v>135</v>
      </c>
      <c r="F85" s="3" t="s">
        <v>24</v>
      </c>
    </row>
    <row r="86" spans="1:6" ht="31.2" x14ac:dyDescent="0.3">
      <c r="A86" s="6" t="s">
        <v>219</v>
      </c>
      <c r="B86" s="6" t="s">
        <v>220</v>
      </c>
      <c r="C86" s="2">
        <f>DATE(2025,7,22)+TIME(9,36,13)</f>
        <v>45860.400150462963</v>
      </c>
      <c r="D86" s="1" t="s">
        <v>2</v>
      </c>
      <c r="E86" s="1" t="s">
        <v>3</v>
      </c>
      <c r="F86" s="1" t="s">
        <v>66</v>
      </c>
    </row>
    <row r="87" spans="1:6" ht="15.6" x14ac:dyDescent="0.3">
      <c r="A87" s="6" t="s">
        <v>221</v>
      </c>
      <c r="B87" s="6" t="s">
        <v>222</v>
      </c>
      <c r="C87" s="4">
        <f>DATE(2025,7,22)+TIME(9,29,49)</f>
        <v>45860.39570601852</v>
      </c>
      <c r="D87" s="3" t="s">
        <v>72</v>
      </c>
      <c r="E87" s="3" t="s">
        <v>223</v>
      </c>
      <c r="F87" s="3" t="s">
        <v>4</v>
      </c>
    </row>
    <row r="88" spans="1:6" ht="15.6" x14ac:dyDescent="0.3">
      <c r="A88" s="6" t="s">
        <v>224</v>
      </c>
      <c r="B88" s="6" t="s">
        <v>225</v>
      </c>
      <c r="C88" s="2">
        <f>DATE(2025,7,22)+TIME(9,27,3)</f>
        <v>45860.393784722219</v>
      </c>
      <c r="D88" s="1" t="s">
        <v>60</v>
      </c>
      <c r="E88" s="1" t="s">
        <v>61</v>
      </c>
      <c r="F88" s="1" t="s">
        <v>4</v>
      </c>
    </row>
    <row r="89" spans="1:6" ht="15.6" x14ac:dyDescent="0.3">
      <c r="A89" s="6" t="s">
        <v>226</v>
      </c>
      <c r="B89" s="6" t="s">
        <v>227</v>
      </c>
      <c r="C89" s="4">
        <f>DATE(2025,7,22)+TIME(9,25,48)</f>
        <v>45860.392916666664</v>
      </c>
      <c r="D89" s="3" t="s">
        <v>60</v>
      </c>
      <c r="E89" s="3" t="s">
        <v>168</v>
      </c>
      <c r="F89" s="3" t="s">
        <v>4</v>
      </c>
    </row>
    <row r="90" spans="1:6" ht="31.2" x14ac:dyDescent="0.3">
      <c r="A90" s="6" t="s">
        <v>228</v>
      </c>
      <c r="B90" s="6" t="s">
        <v>229</v>
      </c>
      <c r="C90" s="2">
        <f>DATE(2025,7,22)+TIME(9,24,44)</f>
        <v>45860.392175925925</v>
      </c>
      <c r="D90" s="1" t="s">
        <v>2</v>
      </c>
      <c r="E90" s="1" t="s">
        <v>3</v>
      </c>
      <c r="F90" s="1" t="s">
        <v>154</v>
      </c>
    </row>
    <row r="91" spans="1:6" ht="15.6" x14ac:dyDescent="0.3">
      <c r="A91" s="6" t="s">
        <v>20</v>
      </c>
      <c r="B91" s="6" t="s">
        <v>230</v>
      </c>
      <c r="C91" s="4">
        <f>DATE(2025,7,22)+TIME(9,3,22)</f>
        <v>45860.377337962964</v>
      </c>
      <c r="D91" s="3" t="s">
        <v>90</v>
      </c>
      <c r="E91" s="3" t="s">
        <v>231</v>
      </c>
      <c r="F91" s="3" t="s">
        <v>4</v>
      </c>
    </row>
    <row r="92" spans="1:6" ht="15.6" x14ac:dyDescent="0.3">
      <c r="A92" s="6" t="s">
        <v>232</v>
      </c>
      <c r="B92" s="6" t="s">
        <v>233</v>
      </c>
      <c r="C92" s="2">
        <f>DATE(2025,7,22)+TIME(8,39,5)</f>
        <v>45860.360474537039</v>
      </c>
      <c r="D92" s="1" t="s">
        <v>90</v>
      </c>
      <c r="E92" s="1" t="s">
        <v>231</v>
      </c>
      <c r="F92" s="1" t="s">
        <v>4</v>
      </c>
    </row>
    <row r="93" spans="1:6" ht="15.6" x14ac:dyDescent="0.3">
      <c r="A93" s="6" t="s">
        <v>234</v>
      </c>
      <c r="B93" s="6" t="s">
        <v>235</v>
      </c>
      <c r="C93" s="4">
        <f>DATE(2025,7,22)+TIME(8,35,17)</f>
        <v>45860.357835648145</v>
      </c>
      <c r="D93" s="3" t="s">
        <v>60</v>
      </c>
      <c r="E93" s="3" t="s">
        <v>61</v>
      </c>
      <c r="F93" s="3" t="s">
        <v>84</v>
      </c>
    </row>
    <row r="94" spans="1:6" ht="31.2" x14ac:dyDescent="0.3">
      <c r="A94" s="6" t="s">
        <v>236</v>
      </c>
      <c r="B94" s="6" t="s">
        <v>237</v>
      </c>
      <c r="C94" s="2">
        <f>DATE(2025,7,22)+TIME(8,26,17)</f>
        <v>45860.351585648146</v>
      </c>
      <c r="D94" s="1" t="s">
        <v>2</v>
      </c>
      <c r="E94" s="1" t="s">
        <v>238</v>
      </c>
      <c r="F94" s="1" t="s">
        <v>50</v>
      </c>
    </row>
    <row r="95" spans="1:6" ht="15.6" x14ac:dyDescent="0.3">
      <c r="A95" s="6" t="s">
        <v>239</v>
      </c>
      <c r="B95" s="6" t="s">
        <v>240</v>
      </c>
      <c r="C95" s="4">
        <f>DATE(2025,7,22)+TIME(8,14,31)</f>
        <v>45860.343414351853</v>
      </c>
      <c r="D95" s="3" t="s">
        <v>48</v>
      </c>
      <c r="E95" s="3" t="s">
        <v>127</v>
      </c>
      <c r="F95" s="3" t="s">
        <v>66</v>
      </c>
    </row>
    <row r="96" spans="1:6" ht="15.6" x14ac:dyDescent="0.3">
      <c r="A96" s="6" t="s">
        <v>241</v>
      </c>
      <c r="B96" s="6" t="s">
        <v>242</v>
      </c>
      <c r="C96" s="2">
        <f>DATE(2025,7,22)+TIME(8,13,5)</f>
        <v>45860.342418981483</v>
      </c>
      <c r="D96" s="1" t="s">
        <v>2</v>
      </c>
      <c r="E96" s="1" t="s">
        <v>198</v>
      </c>
      <c r="F96" s="1" t="s">
        <v>4</v>
      </c>
    </row>
    <row r="97" spans="1:6" ht="15.6" x14ac:dyDescent="0.3">
      <c r="A97" s="6" t="s">
        <v>243</v>
      </c>
      <c r="B97" s="6" t="s">
        <v>244</v>
      </c>
      <c r="C97" s="4">
        <f>DATE(2025,7,22)+TIME(7,23,32)</f>
        <v>45860.308009259257</v>
      </c>
      <c r="D97" s="3" t="s">
        <v>90</v>
      </c>
      <c r="E97" s="3" t="s">
        <v>231</v>
      </c>
      <c r="F97" s="3" t="s">
        <v>4</v>
      </c>
    </row>
    <row r="98" spans="1:6" ht="31.2" x14ac:dyDescent="0.3">
      <c r="A98" s="6" t="s">
        <v>245</v>
      </c>
      <c r="B98" s="6" t="s">
        <v>246</v>
      </c>
      <c r="C98" s="2">
        <f>DATE(2025,7,22)+TIME(7,13,24)</f>
        <v>45860.30097222222</v>
      </c>
      <c r="D98" s="1" t="s">
        <v>90</v>
      </c>
      <c r="E98" s="1" t="s">
        <v>231</v>
      </c>
      <c r="F98" s="1" t="s">
        <v>57</v>
      </c>
    </row>
    <row r="99" spans="1:6" ht="15.6" x14ac:dyDescent="0.3">
      <c r="A99" s="6" t="s">
        <v>247</v>
      </c>
      <c r="B99" s="6" t="s">
        <v>248</v>
      </c>
      <c r="C99" s="4">
        <f>DATE(2025,7,22)+TIME(7,13,16)</f>
        <v>45860.300879629627</v>
      </c>
      <c r="D99" s="3" t="s">
        <v>90</v>
      </c>
      <c r="E99" s="3" t="s">
        <v>231</v>
      </c>
      <c r="F99" s="3" t="s">
        <v>4</v>
      </c>
    </row>
    <row r="100" spans="1:6" ht="15.6" x14ac:dyDescent="0.3">
      <c r="A100" s="6" t="s">
        <v>249</v>
      </c>
      <c r="B100" s="6" t="s">
        <v>250</v>
      </c>
      <c r="C100" s="2">
        <f>DATE(2025,7,22)+TIME(6,55,16)</f>
        <v>45860.28837962963</v>
      </c>
      <c r="D100" s="1" t="s">
        <v>90</v>
      </c>
      <c r="E100" s="1" t="s">
        <v>231</v>
      </c>
      <c r="F100" s="1" t="s">
        <v>84</v>
      </c>
    </row>
    <row r="101" spans="1:6" ht="15.6" x14ac:dyDescent="0.3">
      <c r="A101" s="6" t="s">
        <v>251</v>
      </c>
      <c r="B101" s="6" t="s">
        <v>252</v>
      </c>
      <c r="C101" s="4">
        <f>DATE(2025,7,22)+TIME(6,43,17)</f>
        <v>45860.280057870368</v>
      </c>
      <c r="D101" s="3" t="s">
        <v>90</v>
      </c>
      <c r="E101" s="3" t="s">
        <v>231</v>
      </c>
      <c r="F101" s="3" t="s">
        <v>4</v>
      </c>
    </row>
    <row r="102" spans="1:6" ht="15.6" x14ac:dyDescent="0.3">
      <c r="A102" s="6" t="s">
        <v>253</v>
      </c>
      <c r="B102" s="6" t="s">
        <v>254</v>
      </c>
      <c r="C102" s="2">
        <f>DATE(2025,7,22)+TIME(5,34,51)</f>
        <v>45860.232534722221</v>
      </c>
      <c r="D102" s="1" t="s">
        <v>90</v>
      </c>
      <c r="E102" s="1" t="s">
        <v>231</v>
      </c>
      <c r="F102" s="1" t="s">
        <v>154</v>
      </c>
    </row>
    <row r="103" spans="1:6" ht="15.6" x14ac:dyDescent="0.3">
      <c r="A103" s="6" t="s">
        <v>255</v>
      </c>
      <c r="B103" s="6" t="s">
        <v>255</v>
      </c>
      <c r="C103" s="4">
        <f>DATE(2025,7,22)+TIME(4,21,47)</f>
        <v>45860.181793981479</v>
      </c>
      <c r="D103" s="3" t="s">
        <v>90</v>
      </c>
      <c r="E103" s="3" t="s">
        <v>231</v>
      </c>
      <c r="F103" s="3" t="s">
        <v>19</v>
      </c>
    </row>
    <row r="104" spans="1:6" ht="15.6" x14ac:dyDescent="0.3">
      <c r="A104" s="6" t="s">
        <v>256</v>
      </c>
      <c r="B104" s="6" t="s">
        <v>257</v>
      </c>
      <c r="C104" s="2">
        <f>DATE(2025,7,21)+TIME(22,28,54)</f>
        <v>45859.936736111114</v>
      </c>
      <c r="D104" s="1" t="s">
        <v>48</v>
      </c>
      <c r="E104" s="1" t="s">
        <v>127</v>
      </c>
      <c r="F104" s="1" t="s">
        <v>141</v>
      </c>
    </row>
    <row r="105" spans="1:6" ht="15.6" x14ac:dyDescent="0.3">
      <c r="A105" s="6" t="s">
        <v>258</v>
      </c>
      <c r="B105" s="6" t="s">
        <v>259</v>
      </c>
      <c r="C105" s="4">
        <f>DATE(2025,7,21)+TIME(22,0,6)</f>
        <v>45859.91673611111</v>
      </c>
      <c r="D105" s="3" t="s">
        <v>48</v>
      </c>
      <c r="E105" s="3" t="s">
        <v>127</v>
      </c>
      <c r="F105" s="3" t="s">
        <v>154</v>
      </c>
    </row>
    <row r="106" spans="1:6" ht="31.2" x14ac:dyDescent="0.3">
      <c r="A106" s="6" t="s">
        <v>260</v>
      </c>
      <c r="B106" s="6" t="s">
        <v>261</v>
      </c>
      <c r="C106" s="2">
        <f>DATE(2025,7,21)+TIME(21,54,15)</f>
        <v>45859.912673611114</v>
      </c>
      <c r="D106" s="1" t="s">
        <v>48</v>
      </c>
      <c r="E106" s="1" t="s">
        <v>53</v>
      </c>
      <c r="F106" s="1" t="s">
        <v>24</v>
      </c>
    </row>
    <row r="107" spans="1:6" ht="31.2" x14ac:dyDescent="0.3">
      <c r="A107" s="6" t="s">
        <v>32</v>
      </c>
      <c r="B107" s="6" t="s">
        <v>262</v>
      </c>
      <c r="C107" s="4">
        <f>DATE(2025,7,21)+TIME(18,23,51)</f>
        <v>45859.766562500001</v>
      </c>
      <c r="D107" s="3" t="s">
        <v>48</v>
      </c>
      <c r="E107" s="3" t="s">
        <v>53</v>
      </c>
      <c r="F107" s="3" t="s">
        <v>263</v>
      </c>
    </row>
    <row r="108" spans="1:6" ht="31.2" x14ac:dyDescent="0.3">
      <c r="A108" s="6" t="s">
        <v>264</v>
      </c>
      <c r="B108" s="6" t="s">
        <v>265</v>
      </c>
      <c r="C108" s="2">
        <f>DATE(2025,7,21)+TIME(18,21,46)</f>
        <v>45859.765115740738</v>
      </c>
      <c r="D108" s="1" t="s">
        <v>48</v>
      </c>
      <c r="E108" s="1" t="s">
        <v>53</v>
      </c>
      <c r="F108" s="1" t="s">
        <v>4</v>
      </c>
    </row>
    <row r="109" spans="1:6" ht="31.2" x14ac:dyDescent="0.3">
      <c r="A109" s="6" t="s">
        <v>266</v>
      </c>
      <c r="B109" s="6" t="s">
        <v>267</v>
      </c>
      <c r="C109" s="4">
        <f>DATE(2025,7,21)+TIME(18,18,48)</f>
        <v>45859.763055555559</v>
      </c>
      <c r="D109" s="3" t="s">
        <v>48</v>
      </c>
      <c r="E109" s="3" t="s">
        <v>53</v>
      </c>
      <c r="F109" s="3" t="s">
        <v>84</v>
      </c>
    </row>
    <row r="110" spans="1:6" ht="15.6" x14ac:dyDescent="0.3">
      <c r="A110" s="6" t="s">
        <v>25</v>
      </c>
      <c r="B110" s="6" t="s">
        <v>268</v>
      </c>
      <c r="C110" s="2">
        <f>DATE(2025,7,21)+TIME(17,53,35)</f>
        <v>45859.74554398148</v>
      </c>
      <c r="D110" s="1" t="s">
        <v>22</v>
      </c>
      <c r="E110" s="1" t="s">
        <v>135</v>
      </c>
      <c r="F110" s="1" t="s">
        <v>84</v>
      </c>
    </row>
    <row r="111" spans="1:6" ht="15.6" x14ac:dyDescent="0.3">
      <c r="A111" s="6" t="s">
        <v>269</v>
      </c>
      <c r="B111" s="6" t="s">
        <v>270</v>
      </c>
      <c r="C111" s="4">
        <f>DATE(2025,7,21)+TIME(17,43,13)</f>
        <v>45859.738344907404</v>
      </c>
      <c r="D111" s="3" t="s">
        <v>60</v>
      </c>
      <c r="E111" s="3" t="s">
        <v>61</v>
      </c>
      <c r="F111" s="3" t="s">
        <v>172</v>
      </c>
    </row>
    <row r="112" spans="1:6" ht="15.6" x14ac:dyDescent="0.3">
      <c r="A112" s="6" t="s">
        <v>271</v>
      </c>
      <c r="B112" s="6" t="s">
        <v>272</v>
      </c>
      <c r="C112" s="2">
        <f>DATE(2025,7,21)+TIME(17,41,56)</f>
        <v>45859.737453703703</v>
      </c>
      <c r="D112" s="1" t="s">
        <v>72</v>
      </c>
      <c r="E112" s="1" t="s">
        <v>223</v>
      </c>
      <c r="F112" s="1" t="s">
        <v>4</v>
      </c>
    </row>
    <row r="113" spans="1:6" ht="31.2" x14ac:dyDescent="0.3">
      <c r="A113" s="6" t="s">
        <v>273</v>
      </c>
      <c r="B113" s="6" t="s">
        <v>274</v>
      </c>
      <c r="C113" s="4">
        <f>DATE(2025,7,21)+TIME(17,32,35)</f>
        <v>45859.73096064815</v>
      </c>
      <c r="D113" s="3" t="s">
        <v>48</v>
      </c>
      <c r="E113" s="3" t="s">
        <v>53</v>
      </c>
      <c r="F113" s="3" t="s">
        <v>4</v>
      </c>
    </row>
    <row r="114" spans="1:6" ht="31.2" x14ac:dyDescent="0.3">
      <c r="A114" s="6" t="s">
        <v>275</v>
      </c>
      <c r="B114" s="6" t="s">
        <v>276</v>
      </c>
      <c r="C114" s="2">
        <f>DATE(2025,7,21)+TIME(17,11,10)</f>
        <v>45859.716087962966</v>
      </c>
      <c r="D114" s="1" t="s">
        <v>48</v>
      </c>
      <c r="E114" s="1" t="s">
        <v>53</v>
      </c>
      <c r="F114" s="1" t="s">
        <v>19</v>
      </c>
    </row>
    <row r="115" spans="1:6" ht="15.6" x14ac:dyDescent="0.3">
      <c r="A115" s="6" t="s">
        <v>277</v>
      </c>
      <c r="B115" s="6" t="s">
        <v>278</v>
      </c>
      <c r="C115" s="4">
        <f>DATE(2025,7,21)+TIME(17,10,8)</f>
        <v>45859.715370370373</v>
      </c>
      <c r="D115" s="3" t="s">
        <v>22</v>
      </c>
      <c r="E115" s="3" t="s">
        <v>135</v>
      </c>
      <c r="F115" s="3" t="s">
        <v>19</v>
      </c>
    </row>
    <row r="116" spans="1:6" ht="15.6" x14ac:dyDescent="0.3">
      <c r="A116" s="6" t="s">
        <v>279</v>
      </c>
      <c r="B116" s="6" t="s">
        <v>280</v>
      </c>
      <c r="C116" s="2">
        <f>DATE(2025,7,21)+TIME(16,59,34)</f>
        <v>45859.708032407405</v>
      </c>
      <c r="D116" s="1" t="s">
        <v>60</v>
      </c>
      <c r="E116" s="1" t="s">
        <v>61</v>
      </c>
      <c r="F116" s="1" t="s">
        <v>4</v>
      </c>
    </row>
    <row r="117" spans="1:6" ht="15.6" x14ac:dyDescent="0.3">
      <c r="A117" s="6" t="s">
        <v>281</v>
      </c>
      <c r="B117" s="6" t="s">
        <v>282</v>
      </c>
      <c r="C117" s="4">
        <f>DATE(2025,7,21)+TIME(16,49,32)</f>
        <v>45859.701064814813</v>
      </c>
      <c r="D117" s="3" t="s">
        <v>22</v>
      </c>
      <c r="E117" s="3" t="s">
        <v>135</v>
      </c>
      <c r="F117" s="3" t="s">
        <v>66</v>
      </c>
    </row>
    <row r="118" spans="1:6" ht="15.6" x14ac:dyDescent="0.3">
      <c r="A118" s="6" t="s">
        <v>173</v>
      </c>
      <c r="B118" s="6" t="s">
        <v>283</v>
      </c>
      <c r="C118" s="2">
        <f>DATE(2025,7,21)+TIME(16,47,16)</f>
        <v>45859.699490740742</v>
      </c>
      <c r="D118" s="1" t="s">
        <v>60</v>
      </c>
      <c r="E118" s="1" t="s">
        <v>61</v>
      </c>
      <c r="F118" s="1" t="s">
        <v>4</v>
      </c>
    </row>
    <row r="119" spans="1:6" ht="15.6" x14ac:dyDescent="0.3">
      <c r="A119" s="6" t="s">
        <v>284</v>
      </c>
      <c r="B119" s="6" t="s">
        <v>285</v>
      </c>
      <c r="C119" s="4">
        <f>DATE(2025,7,21)+TIME(16,46,56)</f>
        <v>45859.699259259258</v>
      </c>
      <c r="D119" s="3" t="s">
        <v>60</v>
      </c>
      <c r="E119" s="3" t="s">
        <v>61</v>
      </c>
      <c r="F119" s="3" t="s">
        <v>154</v>
      </c>
    </row>
    <row r="120" spans="1:6" ht="31.2" x14ac:dyDescent="0.3">
      <c r="A120" s="6" t="s">
        <v>286</v>
      </c>
      <c r="B120" s="6" t="s">
        <v>287</v>
      </c>
      <c r="C120" s="2">
        <f>DATE(2025,7,21)+TIME(16,39,51)</f>
        <v>45859.694340277776</v>
      </c>
      <c r="D120" s="1" t="s">
        <v>22</v>
      </c>
      <c r="E120" s="1" t="s">
        <v>135</v>
      </c>
      <c r="F120" s="1" t="s">
        <v>57</v>
      </c>
    </row>
    <row r="121" spans="1:6" ht="31.2" x14ac:dyDescent="0.3">
      <c r="A121" s="6" t="s">
        <v>288</v>
      </c>
      <c r="B121" s="6" t="s">
        <v>289</v>
      </c>
      <c r="C121" s="4">
        <f>DATE(2025,7,21)+TIME(16,39,19)</f>
        <v>45859.693969907406</v>
      </c>
      <c r="D121" s="3" t="s">
        <v>48</v>
      </c>
      <c r="E121" s="3" t="s">
        <v>53</v>
      </c>
      <c r="F121" s="3" t="s">
        <v>4</v>
      </c>
    </row>
    <row r="122" spans="1:6" ht="31.2" x14ac:dyDescent="0.3">
      <c r="A122" s="6" t="s">
        <v>290</v>
      </c>
      <c r="B122" s="6" t="s">
        <v>291</v>
      </c>
      <c r="C122" s="2">
        <f>DATE(2025,7,21)+TIME(16,35,23)</f>
        <v>45859.691238425927</v>
      </c>
      <c r="D122" s="1" t="s">
        <v>48</v>
      </c>
      <c r="E122" s="1" t="s">
        <v>53</v>
      </c>
      <c r="F122" s="1" t="s">
        <v>154</v>
      </c>
    </row>
    <row r="123" spans="1:6" ht="31.2" x14ac:dyDescent="0.3">
      <c r="A123" s="6" t="s">
        <v>292</v>
      </c>
      <c r="B123" s="6" t="s">
        <v>293</v>
      </c>
      <c r="C123" s="4">
        <f>DATE(2025,7,21)+TIME(16,31,5)</f>
        <v>45859.688252314816</v>
      </c>
      <c r="D123" s="3" t="s">
        <v>48</v>
      </c>
      <c r="E123" s="3" t="s">
        <v>53</v>
      </c>
      <c r="F123" s="3" t="s">
        <v>159</v>
      </c>
    </row>
    <row r="124" spans="1:6" ht="15.6" x14ac:dyDescent="0.3">
      <c r="A124" s="6" t="s">
        <v>93</v>
      </c>
      <c r="B124" s="6" t="s">
        <v>294</v>
      </c>
      <c r="C124" s="2">
        <f>DATE(2025,7,21)+TIME(16,28,48)</f>
        <v>45859.686666666668</v>
      </c>
      <c r="D124" s="1" t="s">
        <v>22</v>
      </c>
      <c r="E124" s="1" t="s">
        <v>135</v>
      </c>
      <c r="F124" s="1" t="s">
        <v>4</v>
      </c>
    </row>
    <row r="125" spans="1:6" ht="31.2" x14ac:dyDescent="0.3">
      <c r="A125" s="6" t="s">
        <v>295</v>
      </c>
      <c r="B125" s="6" t="s">
        <v>296</v>
      </c>
      <c r="C125" s="4">
        <f>DATE(2025,7,21)+TIME(16,23,25)</f>
        <v>45859.682928240742</v>
      </c>
      <c r="D125" s="3" t="s">
        <v>48</v>
      </c>
      <c r="E125" s="3" t="s">
        <v>53</v>
      </c>
      <c r="F125" s="3" t="s">
        <v>4</v>
      </c>
    </row>
    <row r="126" spans="1:6" ht="15.6" x14ac:dyDescent="0.3">
      <c r="A126" s="6" t="s">
        <v>85</v>
      </c>
      <c r="B126" s="6" t="s">
        <v>297</v>
      </c>
      <c r="C126" s="2">
        <f>DATE(2025,7,21)+TIME(16,23,18)</f>
        <v>45859.682847222219</v>
      </c>
      <c r="D126" s="1" t="s">
        <v>22</v>
      </c>
      <c r="E126" s="1" t="s">
        <v>135</v>
      </c>
      <c r="F126" s="1" t="s">
        <v>154</v>
      </c>
    </row>
    <row r="127" spans="1:6" ht="31.2" x14ac:dyDescent="0.3">
      <c r="A127" s="6" t="s">
        <v>298</v>
      </c>
      <c r="B127" s="6" t="s">
        <v>299</v>
      </c>
      <c r="C127" s="4">
        <f>DATE(2025,7,21)+TIME(16,17,16)</f>
        <v>45859.678657407407</v>
      </c>
      <c r="D127" s="3" t="s">
        <v>300</v>
      </c>
      <c r="E127" s="3" t="s">
        <v>53</v>
      </c>
      <c r="F127" s="3" t="s">
        <v>4</v>
      </c>
    </row>
    <row r="128" spans="1:6" ht="31.2" x14ac:dyDescent="0.3">
      <c r="A128" s="6" t="s">
        <v>301</v>
      </c>
      <c r="B128" s="6" t="s">
        <v>302</v>
      </c>
      <c r="C128" s="2">
        <f>DATE(2025,7,21)+TIME(16,17,15)</f>
        <v>45859.67864583333</v>
      </c>
      <c r="D128" s="1" t="s">
        <v>48</v>
      </c>
      <c r="E128" s="1" t="s">
        <v>53</v>
      </c>
      <c r="F128" s="1" t="s">
        <v>263</v>
      </c>
    </row>
    <row r="129" spans="1:6" ht="31.2" x14ac:dyDescent="0.3">
      <c r="A129" s="6" t="s">
        <v>303</v>
      </c>
      <c r="B129" s="6" t="s">
        <v>304</v>
      </c>
      <c r="C129" s="4">
        <f>DATE(2025,7,21)+TIME(16,16,56)</f>
        <v>45859.678425925929</v>
      </c>
      <c r="D129" s="3" t="s">
        <v>48</v>
      </c>
      <c r="E129" s="3" t="s">
        <v>53</v>
      </c>
      <c r="F129" s="3" t="s">
        <v>66</v>
      </c>
    </row>
    <row r="130" spans="1:6" ht="31.2" x14ac:dyDescent="0.3">
      <c r="A130" s="6" t="s">
        <v>305</v>
      </c>
      <c r="B130" s="6" t="s">
        <v>233</v>
      </c>
      <c r="C130" s="2">
        <f>DATE(2025,7,21)+TIME(16,16,56)</f>
        <v>45859.678425925929</v>
      </c>
      <c r="D130" s="1" t="s">
        <v>48</v>
      </c>
      <c r="E130" s="1" t="s">
        <v>53</v>
      </c>
      <c r="F130" s="1" t="s">
        <v>4</v>
      </c>
    </row>
    <row r="131" spans="1:6" ht="15.6" x14ac:dyDescent="0.3">
      <c r="A131" s="6" t="s">
        <v>306</v>
      </c>
      <c r="B131" s="6" t="s">
        <v>307</v>
      </c>
      <c r="C131" s="4">
        <f>DATE(2025,7,21)+TIME(16,15,25)</f>
        <v>45859.677372685182</v>
      </c>
      <c r="D131" s="3" t="s">
        <v>90</v>
      </c>
      <c r="E131" s="3" t="s">
        <v>231</v>
      </c>
      <c r="F131" s="3" t="s">
        <v>172</v>
      </c>
    </row>
    <row r="132" spans="1:6" ht="31.2" x14ac:dyDescent="0.3">
      <c r="A132" s="6" t="s">
        <v>42</v>
      </c>
      <c r="B132" s="6" t="s">
        <v>308</v>
      </c>
      <c r="C132" s="2">
        <f>DATE(2025,7,21)+TIME(16,12,10)</f>
        <v>45859.675115740742</v>
      </c>
      <c r="D132" s="1" t="s">
        <v>48</v>
      </c>
      <c r="E132" s="1" t="s">
        <v>53</v>
      </c>
      <c r="F132" s="1" t="s">
        <v>172</v>
      </c>
    </row>
    <row r="133" spans="1:6" ht="15.6" x14ac:dyDescent="0.3">
      <c r="A133" s="6" t="s">
        <v>46</v>
      </c>
      <c r="B133" s="6" t="s">
        <v>309</v>
      </c>
      <c r="C133" s="4">
        <f>DATE(2025,7,21)+TIME(13,13,13)</f>
        <v>45859.550844907404</v>
      </c>
      <c r="D133" s="3" t="s">
        <v>87</v>
      </c>
      <c r="E133" s="3" t="s">
        <v>138</v>
      </c>
      <c r="F133" s="3" t="s">
        <v>24</v>
      </c>
    </row>
    <row r="134" spans="1:6" ht="15.6" x14ac:dyDescent="0.3">
      <c r="A134" s="6" t="s">
        <v>54</v>
      </c>
      <c r="B134" s="6" t="s">
        <v>82</v>
      </c>
      <c r="C134" s="2">
        <f>DATE(2025,7,21)+TIME(10,26,52)</f>
        <v>45859.435324074075</v>
      </c>
      <c r="D134" s="1" t="s">
        <v>60</v>
      </c>
      <c r="E134" s="1" t="s">
        <v>168</v>
      </c>
      <c r="F134" s="1" t="s">
        <v>84</v>
      </c>
    </row>
    <row r="135" spans="1:6" ht="15.6" x14ac:dyDescent="0.3">
      <c r="A135" s="6" t="s">
        <v>310</v>
      </c>
      <c r="B135" s="6" t="s">
        <v>311</v>
      </c>
      <c r="C135" s="4">
        <f>DATE(2025,7,21)+TIME(7,58,57)</f>
        <v>45859.332604166666</v>
      </c>
      <c r="D135" s="3" t="s">
        <v>60</v>
      </c>
      <c r="E135" s="3" t="s">
        <v>168</v>
      </c>
      <c r="F135" s="3" t="s">
        <v>4</v>
      </c>
    </row>
    <row r="136" spans="1:6" ht="31.2" x14ac:dyDescent="0.3">
      <c r="A136" s="6" t="s">
        <v>312</v>
      </c>
      <c r="B136" s="6" t="s">
        <v>313</v>
      </c>
      <c r="C136" s="2">
        <f>DATE(2025,7,21)+TIME(7,2,24)</f>
        <v>45859.293333333335</v>
      </c>
      <c r="D136" s="1" t="s">
        <v>2</v>
      </c>
      <c r="E136" s="1" t="s">
        <v>124</v>
      </c>
      <c r="F136" s="1" t="s">
        <v>172</v>
      </c>
    </row>
    <row r="137" spans="1:6" ht="15.6" x14ac:dyDescent="0.3">
      <c r="A137" s="6" t="s">
        <v>314</v>
      </c>
      <c r="B137" s="6" t="s">
        <v>315</v>
      </c>
      <c r="C137" s="4">
        <f>DATE(2025,7,19)+TIME(18,7,24)</f>
        <v>45857.75513888889</v>
      </c>
      <c r="D137" s="3" t="s">
        <v>17</v>
      </c>
      <c r="E137" s="3" t="s">
        <v>18</v>
      </c>
      <c r="F137" s="3" t="s">
        <v>76</v>
      </c>
    </row>
    <row r="138" spans="1:6" ht="31.2" x14ac:dyDescent="0.3">
      <c r="A138" s="6" t="s">
        <v>316</v>
      </c>
      <c r="B138" s="6" t="s">
        <v>317</v>
      </c>
      <c r="C138" s="2">
        <f>DATE(2025,7,19)+TIME(15,45,22)</f>
        <v>45857.656504629631</v>
      </c>
      <c r="D138" s="1" t="s">
        <v>2</v>
      </c>
      <c r="E138" s="1" t="s">
        <v>124</v>
      </c>
      <c r="F138" s="1" t="s">
        <v>318</v>
      </c>
    </row>
    <row r="139" spans="1:6" ht="31.2" x14ac:dyDescent="0.3">
      <c r="A139" s="6" t="s">
        <v>319</v>
      </c>
      <c r="B139" s="6" t="s">
        <v>320</v>
      </c>
      <c r="C139" s="4">
        <f>DATE(2025,7,19)+TIME(11,14,52)</f>
        <v>45857.468657407408</v>
      </c>
      <c r="D139" s="3" t="s">
        <v>2</v>
      </c>
      <c r="E139" s="3" t="s">
        <v>124</v>
      </c>
      <c r="F139" s="3" t="s">
        <v>4</v>
      </c>
    </row>
    <row r="140" spans="1:6" ht="15.6" x14ac:dyDescent="0.3">
      <c r="A140" s="6" t="s">
        <v>221</v>
      </c>
      <c r="B140" s="6" t="s">
        <v>321</v>
      </c>
      <c r="C140" s="2">
        <f>DATE(2025,7,19)+TIME(9,12,53)</f>
        <v>45857.383946759262</v>
      </c>
      <c r="D140" s="1" t="s">
        <v>60</v>
      </c>
      <c r="E140" s="1" t="s">
        <v>168</v>
      </c>
      <c r="F140" s="1" t="s">
        <v>19</v>
      </c>
    </row>
    <row r="141" spans="1:6" ht="15.6" x14ac:dyDescent="0.3">
      <c r="A141" s="6" t="s">
        <v>322</v>
      </c>
      <c r="B141" s="6" t="s">
        <v>323</v>
      </c>
      <c r="C141" s="4">
        <f>DATE(2025,7,18)+TIME(21,31,58)</f>
        <v>45856.897199074076</v>
      </c>
      <c r="D141" s="3" t="s">
        <v>60</v>
      </c>
      <c r="E141" s="3" t="s">
        <v>168</v>
      </c>
      <c r="F141" s="3" t="s">
        <v>172</v>
      </c>
    </row>
    <row r="142" spans="1:6" ht="31.2" x14ac:dyDescent="0.3">
      <c r="A142" s="6" t="s">
        <v>324</v>
      </c>
      <c r="B142" s="6" t="s">
        <v>325</v>
      </c>
      <c r="C142" s="2">
        <f>DATE(2025,7,18)+TIME(16,14,14)</f>
        <v>45856.676550925928</v>
      </c>
      <c r="D142" s="1" t="s">
        <v>2</v>
      </c>
      <c r="E142" s="1" t="s">
        <v>124</v>
      </c>
      <c r="F142" s="1" t="s">
        <v>19</v>
      </c>
    </row>
    <row r="143" spans="1:6" ht="15.6" x14ac:dyDescent="0.3">
      <c r="A143" s="6" t="s">
        <v>326</v>
      </c>
      <c r="B143" s="6" t="s">
        <v>111</v>
      </c>
      <c r="C143" s="4">
        <f>DATE(2025,7,18)+TIME(16,9,35)</f>
        <v>45856.673321759263</v>
      </c>
      <c r="D143" s="3" t="s">
        <v>60</v>
      </c>
      <c r="E143" s="3" t="s">
        <v>168</v>
      </c>
      <c r="F143" s="3" t="s">
        <v>66</v>
      </c>
    </row>
    <row r="144" spans="1:6" ht="15.6" x14ac:dyDescent="0.3">
      <c r="A144" s="6" t="s">
        <v>327</v>
      </c>
      <c r="B144" s="6" t="s">
        <v>328</v>
      </c>
      <c r="C144" s="2">
        <f>DATE(2025,7,18)+TIME(15,56,47)</f>
        <v>45856.66443287037</v>
      </c>
      <c r="D144" s="1" t="s">
        <v>60</v>
      </c>
      <c r="E144" s="1" t="s">
        <v>168</v>
      </c>
      <c r="F144" s="1" t="s">
        <v>154</v>
      </c>
    </row>
    <row r="145" spans="1:6" ht="15.6" x14ac:dyDescent="0.3">
      <c r="A145" s="6" t="s">
        <v>77</v>
      </c>
      <c r="B145" s="6" t="s">
        <v>329</v>
      </c>
      <c r="C145" s="4">
        <f>DATE(2025,7,18)+TIME(11,13,35)</f>
        <v>45856.467766203707</v>
      </c>
      <c r="D145" s="3" t="s">
        <v>17</v>
      </c>
      <c r="E145" s="3" t="s">
        <v>27</v>
      </c>
      <c r="F145" s="3" t="s">
        <v>172</v>
      </c>
    </row>
    <row r="146" spans="1:6" ht="31.2" x14ac:dyDescent="0.3">
      <c r="A146" s="6" t="s">
        <v>330</v>
      </c>
      <c r="B146" s="6" t="s">
        <v>331</v>
      </c>
      <c r="C146" s="2">
        <f>DATE(2025,7,18)+TIME(11,4,34)</f>
        <v>45856.461504629631</v>
      </c>
      <c r="D146" s="1" t="s">
        <v>2</v>
      </c>
      <c r="E146" s="1" t="s">
        <v>124</v>
      </c>
      <c r="F146" s="1" t="s">
        <v>154</v>
      </c>
    </row>
    <row r="147" spans="1:6" ht="15.6" x14ac:dyDescent="0.3">
      <c r="A147" s="6" t="s">
        <v>298</v>
      </c>
      <c r="B147" s="6" t="s">
        <v>332</v>
      </c>
      <c r="C147" s="4">
        <f>DATE(2025,7,18)+TIME(7,41,38)</f>
        <v>45856.3205787037</v>
      </c>
      <c r="D147" s="3" t="s">
        <v>60</v>
      </c>
      <c r="E147" s="3" t="s">
        <v>103</v>
      </c>
      <c r="F147" s="3" t="s">
        <v>4</v>
      </c>
    </row>
    <row r="148" spans="1:6" ht="15.6" x14ac:dyDescent="0.3">
      <c r="A148" s="6" t="s">
        <v>39</v>
      </c>
      <c r="B148" s="6" t="s">
        <v>333</v>
      </c>
      <c r="C148" s="2">
        <f>DATE(2025,7,17)+TIME(16,43,42)</f>
        <v>45855.697013888886</v>
      </c>
      <c r="D148" s="1" t="s">
        <v>72</v>
      </c>
      <c r="E148" s="1" t="s">
        <v>223</v>
      </c>
      <c r="F148" s="1" t="s">
        <v>19</v>
      </c>
    </row>
    <row r="149" spans="1:6" ht="15.6" x14ac:dyDescent="0.3">
      <c r="A149" s="6" t="s">
        <v>334</v>
      </c>
      <c r="B149" s="6" t="s">
        <v>335</v>
      </c>
      <c r="C149" s="4">
        <f>DATE(2025,7,17)+TIME(15,38,15)</f>
        <v>45855.651562500003</v>
      </c>
      <c r="D149" s="3" t="s">
        <v>60</v>
      </c>
      <c r="E149" s="3" t="s">
        <v>336</v>
      </c>
      <c r="F149" s="3" t="s">
        <v>130</v>
      </c>
    </row>
    <row r="150" spans="1:6" ht="31.2" x14ac:dyDescent="0.3">
      <c r="A150" s="6" t="s">
        <v>337</v>
      </c>
      <c r="B150" s="6" t="s">
        <v>338</v>
      </c>
      <c r="C150" s="2">
        <f>DATE(2025,7,17)+TIME(11,53,30)</f>
        <v>45855.495486111111</v>
      </c>
      <c r="D150" s="1" t="s">
        <v>117</v>
      </c>
      <c r="E150" s="1" t="s">
        <v>118</v>
      </c>
      <c r="F150" s="1" t="s">
        <v>76</v>
      </c>
    </row>
    <row r="151" spans="1:6" ht="15.6" x14ac:dyDescent="0.3">
      <c r="A151" s="6" t="s">
        <v>339</v>
      </c>
      <c r="B151" s="6" t="s">
        <v>340</v>
      </c>
      <c r="C151" s="4">
        <f>DATE(2025,7,17)+TIME(11,16,2)</f>
        <v>45855.469467592593</v>
      </c>
      <c r="D151" s="3" t="s">
        <v>87</v>
      </c>
      <c r="E151" s="3" t="s">
        <v>138</v>
      </c>
      <c r="F151" s="3" t="s">
        <v>66</v>
      </c>
    </row>
    <row r="152" spans="1:6" ht="31.2" x14ac:dyDescent="0.3">
      <c r="A152" s="6" t="s">
        <v>341</v>
      </c>
      <c r="B152" s="6" t="s">
        <v>342</v>
      </c>
      <c r="C152" s="2">
        <f>DATE(2025,7,17)+TIME(10,27,30)</f>
        <v>45855.435763888891</v>
      </c>
      <c r="D152" s="1" t="s">
        <v>90</v>
      </c>
      <c r="E152" s="1" t="s">
        <v>91</v>
      </c>
      <c r="F152" s="1" t="s">
        <v>84</v>
      </c>
    </row>
    <row r="153" spans="1:6" ht="31.2" x14ac:dyDescent="0.3">
      <c r="A153" s="6" t="s">
        <v>343</v>
      </c>
      <c r="B153" s="6" t="s">
        <v>344</v>
      </c>
      <c r="C153" s="4">
        <f>DATE(2025,7,16)+TIME(16,58,57)</f>
        <v>45854.707604166666</v>
      </c>
      <c r="D153" s="3" t="s">
        <v>117</v>
      </c>
      <c r="E153" s="3" t="s">
        <v>118</v>
      </c>
      <c r="F153" s="3" t="s">
        <v>141</v>
      </c>
    </row>
    <row r="154" spans="1:6" ht="15.6" x14ac:dyDescent="0.3">
      <c r="A154" s="6" t="s">
        <v>345</v>
      </c>
      <c r="B154" s="6" t="s">
        <v>346</v>
      </c>
      <c r="C154" s="2">
        <f>DATE(2025,7,16)+TIME(15,59,24)</f>
        <v>45854.666250000002</v>
      </c>
      <c r="D154" s="1" t="s">
        <v>117</v>
      </c>
      <c r="E154" s="1" t="s">
        <v>347</v>
      </c>
      <c r="F154" s="1" t="s">
        <v>4</v>
      </c>
    </row>
    <row r="155" spans="1:6" ht="15.6" x14ac:dyDescent="0.3">
      <c r="A155" s="6" t="s">
        <v>348</v>
      </c>
      <c r="B155" s="6" t="s">
        <v>349</v>
      </c>
      <c r="C155" s="4">
        <f>DATE(2025,7,16)+TIME(14,39,25)</f>
        <v>45854.610706018517</v>
      </c>
      <c r="D155" s="3" t="s">
        <v>7</v>
      </c>
      <c r="E155" s="3" t="s">
        <v>157</v>
      </c>
      <c r="F155" s="3" t="s">
        <v>4</v>
      </c>
    </row>
    <row r="156" spans="1:6" ht="15.6" x14ac:dyDescent="0.3">
      <c r="A156" s="6" t="s">
        <v>350</v>
      </c>
      <c r="B156" s="6" t="s">
        <v>351</v>
      </c>
      <c r="C156" s="2">
        <f>DATE(2025,7,16)+TIME(13,49,44)</f>
        <v>45854.576203703706</v>
      </c>
      <c r="D156" s="1" t="s">
        <v>60</v>
      </c>
      <c r="E156" s="1" t="s">
        <v>336</v>
      </c>
      <c r="F156" s="1" t="s">
        <v>4</v>
      </c>
    </row>
    <row r="157" spans="1:6" ht="15.6" x14ac:dyDescent="0.3">
      <c r="A157" s="6" t="s">
        <v>352</v>
      </c>
      <c r="B157" s="6" t="s">
        <v>353</v>
      </c>
      <c r="C157" s="4">
        <f>DATE(2025,7,16)+TIME(12,7,22)</f>
        <v>45854.505115740743</v>
      </c>
      <c r="D157" s="3" t="s">
        <v>72</v>
      </c>
      <c r="E157" s="3" t="s">
        <v>354</v>
      </c>
      <c r="F157" s="3" t="s">
        <v>4</v>
      </c>
    </row>
    <row r="158" spans="1:6" ht="15.6" x14ac:dyDescent="0.3">
      <c r="A158" s="6" t="s">
        <v>62</v>
      </c>
      <c r="B158" s="6" t="s">
        <v>355</v>
      </c>
      <c r="C158" s="2">
        <f>DATE(2025,7,16)+TIME(12,4,42)</f>
        <v>45854.503263888888</v>
      </c>
      <c r="D158" s="1" t="s">
        <v>300</v>
      </c>
      <c r="E158" s="1" t="s">
        <v>149</v>
      </c>
      <c r="F158" s="1" t="s">
        <v>19</v>
      </c>
    </row>
    <row r="159" spans="1:6" ht="15.6" x14ac:dyDescent="0.3">
      <c r="A159" s="6" t="s">
        <v>356</v>
      </c>
      <c r="B159" s="6" t="s">
        <v>357</v>
      </c>
      <c r="C159" s="4">
        <f>DATE(2025,7,16)+TIME(11,39,21)</f>
        <v>45854.485659722224</v>
      </c>
      <c r="D159" s="3" t="s">
        <v>358</v>
      </c>
      <c r="E159" s="3" t="s">
        <v>149</v>
      </c>
      <c r="F159" s="3" t="s">
        <v>4</v>
      </c>
    </row>
    <row r="160" spans="1:6" ht="15.6" x14ac:dyDescent="0.3">
      <c r="A160" s="6" t="s">
        <v>359</v>
      </c>
      <c r="B160" s="6" t="s">
        <v>360</v>
      </c>
      <c r="C160" s="2">
        <f>DATE(2025,7,16)+TIME(11,28,56)</f>
        <v>45854.478425925925</v>
      </c>
      <c r="D160" s="1" t="s">
        <v>117</v>
      </c>
      <c r="E160" s="1" t="s">
        <v>149</v>
      </c>
      <c r="F160" s="1" t="s">
        <v>4</v>
      </c>
    </row>
    <row r="161" spans="1:6" ht="15.6" x14ac:dyDescent="0.3">
      <c r="A161" s="6" t="s">
        <v>361</v>
      </c>
      <c r="B161" s="6" t="s">
        <v>362</v>
      </c>
      <c r="C161" s="4">
        <f>DATE(2025,7,16)+TIME(10,18,21)</f>
        <v>45854.429409722223</v>
      </c>
      <c r="D161" s="3" t="s">
        <v>87</v>
      </c>
      <c r="E161" s="3" t="s">
        <v>363</v>
      </c>
      <c r="F161" s="3" t="s">
        <v>24</v>
      </c>
    </row>
    <row r="162" spans="1:6" ht="15.6" x14ac:dyDescent="0.3">
      <c r="A162" s="6" t="s">
        <v>364</v>
      </c>
      <c r="B162" s="6" t="s">
        <v>365</v>
      </c>
      <c r="C162" s="2">
        <f>DATE(2025,7,16)+TIME(7,55,42)</f>
        <v>45854.330347222225</v>
      </c>
      <c r="D162" s="1" t="s">
        <v>60</v>
      </c>
      <c r="E162" s="1" t="s">
        <v>366</v>
      </c>
      <c r="F162" s="1" t="s">
        <v>172</v>
      </c>
    </row>
    <row r="163" spans="1:6" ht="31.2" x14ac:dyDescent="0.3">
      <c r="A163" s="6" t="s">
        <v>367</v>
      </c>
      <c r="B163" s="6" t="s">
        <v>368</v>
      </c>
      <c r="C163" s="4">
        <f>DATE(2025,7,16)+TIME(7,43,28)</f>
        <v>45854.321851851855</v>
      </c>
      <c r="D163" s="3" t="s">
        <v>117</v>
      </c>
      <c r="E163" s="3" t="s">
        <v>118</v>
      </c>
      <c r="F163" s="3" t="s">
        <v>19</v>
      </c>
    </row>
    <row r="164" spans="1:6" ht="31.2" x14ac:dyDescent="0.3">
      <c r="A164" s="6" t="s">
        <v>234</v>
      </c>
      <c r="B164" s="6" t="s">
        <v>369</v>
      </c>
      <c r="C164" s="2">
        <f>DATE(2025,7,16)+TIME(7,41,21)</f>
        <v>45854.320381944446</v>
      </c>
      <c r="D164" s="1" t="s">
        <v>117</v>
      </c>
      <c r="E164" s="1" t="s">
        <v>118</v>
      </c>
      <c r="F164" s="1" t="s">
        <v>66</v>
      </c>
    </row>
    <row r="165" spans="1:6" ht="31.2" x14ac:dyDescent="0.3">
      <c r="A165" s="6" t="s">
        <v>370</v>
      </c>
      <c r="B165" s="6" t="s">
        <v>371</v>
      </c>
      <c r="C165" s="4">
        <f>DATE(2025,7,15)+TIME(16,3,39)</f>
        <v>45853.66920138889</v>
      </c>
      <c r="D165" s="3" t="s">
        <v>90</v>
      </c>
      <c r="E165" s="3" t="s">
        <v>91</v>
      </c>
      <c r="F165" s="3" t="s">
        <v>4</v>
      </c>
    </row>
    <row r="166" spans="1:6" ht="15.6" x14ac:dyDescent="0.3">
      <c r="A166" s="6" t="s">
        <v>372</v>
      </c>
      <c r="B166" s="6" t="s">
        <v>373</v>
      </c>
      <c r="C166" s="2">
        <f>DATE(2025,7,15)+TIME(15,49,48)</f>
        <v>45853.659583333334</v>
      </c>
      <c r="D166" s="1" t="s">
        <v>117</v>
      </c>
      <c r="E166" s="1" t="s">
        <v>347</v>
      </c>
      <c r="F166" s="1" t="s">
        <v>66</v>
      </c>
    </row>
    <row r="167" spans="1:6" ht="15.6" x14ac:dyDescent="0.3">
      <c r="A167" s="6" t="s">
        <v>160</v>
      </c>
      <c r="B167" s="6" t="s">
        <v>276</v>
      </c>
      <c r="C167" s="4">
        <f>DATE(2025,7,15)+TIME(13,22,58)</f>
        <v>45853.557615740741</v>
      </c>
      <c r="D167" s="3" t="s">
        <v>87</v>
      </c>
      <c r="E167" s="3" t="s">
        <v>88</v>
      </c>
      <c r="F167" s="3" t="s">
        <v>24</v>
      </c>
    </row>
    <row r="168" spans="1:6" ht="15.6" x14ac:dyDescent="0.3">
      <c r="A168" s="6" t="s">
        <v>372</v>
      </c>
      <c r="B168" s="6" t="s">
        <v>374</v>
      </c>
      <c r="C168" s="2">
        <f>DATE(2025,7,15)+TIME(13,8,43)</f>
        <v>45853.547719907408</v>
      </c>
      <c r="D168" s="1" t="s">
        <v>22</v>
      </c>
      <c r="E168" s="1" t="s">
        <v>44</v>
      </c>
      <c r="F168" s="1" t="s">
        <v>24</v>
      </c>
    </row>
    <row r="169" spans="1:6" ht="31.2" x14ac:dyDescent="0.3">
      <c r="A169" s="6" t="s">
        <v>375</v>
      </c>
      <c r="B169" s="6" t="s">
        <v>376</v>
      </c>
      <c r="C169" s="4">
        <f>DATE(2025,7,15)+TIME(12,59,42)</f>
        <v>45853.541458333333</v>
      </c>
      <c r="D169" s="3" t="s">
        <v>90</v>
      </c>
      <c r="E169" s="3" t="s">
        <v>91</v>
      </c>
      <c r="F169" s="3" t="s">
        <v>263</v>
      </c>
    </row>
    <row r="170" spans="1:6" ht="31.2" x14ac:dyDescent="0.3">
      <c r="A170" s="6" t="s">
        <v>377</v>
      </c>
      <c r="B170" s="6" t="s">
        <v>378</v>
      </c>
      <c r="C170" s="2">
        <f>DATE(2025,7,15)+TIME(12,20,30)</f>
        <v>45853.514236111114</v>
      </c>
      <c r="D170" s="1" t="s">
        <v>90</v>
      </c>
      <c r="E170" s="1" t="s">
        <v>91</v>
      </c>
      <c r="F170" s="1" t="s">
        <v>4</v>
      </c>
    </row>
    <row r="171" spans="1:6" ht="15.6" x14ac:dyDescent="0.3">
      <c r="A171" s="6" t="s">
        <v>379</v>
      </c>
      <c r="B171" s="6" t="s">
        <v>380</v>
      </c>
      <c r="C171" s="4">
        <f>DATE(2025,7,15)+TIME(12,4,50)</f>
        <v>45853.50335648148</v>
      </c>
      <c r="D171" s="3" t="s">
        <v>87</v>
      </c>
      <c r="E171" s="3" t="s">
        <v>88</v>
      </c>
      <c r="F171" s="3" t="s">
        <v>4</v>
      </c>
    </row>
    <row r="172" spans="1:6" ht="31.2" x14ac:dyDescent="0.3">
      <c r="A172" s="6" t="s">
        <v>381</v>
      </c>
      <c r="B172" s="6" t="s">
        <v>382</v>
      </c>
      <c r="C172" s="2">
        <f>DATE(2025,7,15)+TIME(11,55,3)</f>
        <v>45853.496562499997</v>
      </c>
      <c r="D172" s="1" t="s">
        <v>87</v>
      </c>
      <c r="E172" s="1" t="s">
        <v>88</v>
      </c>
      <c r="F172" s="1" t="s">
        <v>57</v>
      </c>
    </row>
    <row r="173" spans="1:6" ht="15.6" x14ac:dyDescent="0.3">
      <c r="A173" s="6" t="s">
        <v>281</v>
      </c>
      <c r="B173" s="6" t="s">
        <v>383</v>
      </c>
      <c r="C173" s="4">
        <f>DATE(2025,7,15)+TIME(11,43,49)</f>
        <v>45853.488761574074</v>
      </c>
      <c r="D173" s="3" t="s">
        <v>87</v>
      </c>
      <c r="E173" s="3" t="s">
        <v>88</v>
      </c>
      <c r="F173" s="3" t="s">
        <v>141</v>
      </c>
    </row>
    <row r="174" spans="1:6" ht="15.6" x14ac:dyDescent="0.3">
      <c r="A174" s="6" t="s">
        <v>384</v>
      </c>
      <c r="B174" s="6" t="s">
        <v>385</v>
      </c>
      <c r="C174" s="2">
        <f>DATE(2025,7,15)+TIME(11,40,29)</f>
        <v>45853.486446759256</v>
      </c>
      <c r="D174" s="1" t="s">
        <v>87</v>
      </c>
      <c r="E174" s="1" t="s">
        <v>88</v>
      </c>
      <c r="F174" s="1" t="s">
        <v>24</v>
      </c>
    </row>
    <row r="175" spans="1:6" ht="31.2" x14ac:dyDescent="0.3">
      <c r="A175" s="6" t="s">
        <v>85</v>
      </c>
      <c r="B175" s="6" t="s">
        <v>233</v>
      </c>
      <c r="C175" s="4">
        <f>DATE(2025,7,15)+TIME(11,37,46)</f>
        <v>45853.484560185185</v>
      </c>
      <c r="D175" s="3" t="s">
        <v>11</v>
      </c>
      <c r="E175" s="3" t="s">
        <v>12</v>
      </c>
      <c r="F175" s="3" t="s">
        <v>4</v>
      </c>
    </row>
    <row r="176" spans="1:6" ht="31.2" x14ac:dyDescent="0.3">
      <c r="A176" s="6" t="s">
        <v>386</v>
      </c>
      <c r="B176" s="6" t="s">
        <v>387</v>
      </c>
      <c r="C176" s="2">
        <f>DATE(2025,7,15)+TIME(11,35,25)</f>
        <v>45853.482928240737</v>
      </c>
      <c r="D176" s="1" t="s">
        <v>11</v>
      </c>
      <c r="E176" s="1" t="s">
        <v>12</v>
      </c>
      <c r="F176" s="1" t="s">
        <v>4</v>
      </c>
    </row>
    <row r="177" spans="1:6" ht="31.2" x14ac:dyDescent="0.3">
      <c r="A177" s="6" t="s">
        <v>388</v>
      </c>
      <c r="B177" s="6" t="s">
        <v>389</v>
      </c>
      <c r="C177" s="4">
        <f>DATE(2025,7,15)+TIME(11,34,30)</f>
        <v>45853.482291666667</v>
      </c>
      <c r="D177" s="3" t="s">
        <v>11</v>
      </c>
      <c r="E177" s="3" t="s">
        <v>12</v>
      </c>
      <c r="F177" s="3" t="s">
        <v>263</v>
      </c>
    </row>
    <row r="178" spans="1:6" ht="31.2" x14ac:dyDescent="0.3">
      <c r="A178" s="6" t="s">
        <v>290</v>
      </c>
      <c r="B178" s="6" t="s">
        <v>390</v>
      </c>
      <c r="C178" s="2">
        <f>DATE(2025,7,15)+TIME(11,34,9)</f>
        <v>45853.482048611113</v>
      </c>
      <c r="D178" s="1" t="s">
        <v>11</v>
      </c>
      <c r="E178" s="1" t="s">
        <v>12</v>
      </c>
      <c r="F178" s="1" t="s">
        <v>24</v>
      </c>
    </row>
    <row r="179" spans="1:6" ht="31.2" x14ac:dyDescent="0.3">
      <c r="A179" s="6" t="s">
        <v>391</v>
      </c>
      <c r="B179" s="6" t="s">
        <v>392</v>
      </c>
      <c r="C179" s="4">
        <f>DATE(2025,7,15)+TIME(11,34,6)</f>
        <v>45853.48201388889</v>
      </c>
      <c r="D179" s="3" t="s">
        <v>11</v>
      </c>
      <c r="E179" s="3" t="s">
        <v>12</v>
      </c>
      <c r="F179" s="3" t="s">
        <v>172</v>
      </c>
    </row>
    <row r="180" spans="1:6" ht="31.2" x14ac:dyDescent="0.3">
      <c r="A180" s="6" t="s">
        <v>393</v>
      </c>
      <c r="B180" s="6" t="s">
        <v>394</v>
      </c>
      <c r="C180" s="2">
        <f>DATE(2025,7,15)+TIME(11,34,6)</f>
        <v>45853.48201388889</v>
      </c>
      <c r="D180" s="1" t="s">
        <v>11</v>
      </c>
      <c r="E180" s="1" t="s">
        <v>12</v>
      </c>
      <c r="F180" s="1" t="s">
        <v>4</v>
      </c>
    </row>
    <row r="181" spans="1:6" ht="31.2" x14ac:dyDescent="0.3">
      <c r="A181" s="6" t="s">
        <v>395</v>
      </c>
      <c r="B181" s="6" t="s">
        <v>396</v>
      </c>
      <c r="C181" s="4">
        <f>DATE(2025,7,15)+TIME(11,33,36)</f>
        <v>45853.481666666667</v>
      </c>
      <c r="D181" s="3" t="s">
        <v>11</v>
      </c>
      <c r="E181" s="3" t="s">
        <v>12</v>
      </c>
      <c r="F181" s="3" t="s">
        <v>4</v>
      </c>
    </row>
    <row r="182" spans="1:6" ht="31.2" x14ac:dyDescent="0.3">
      <c r="A182" s="6" t="s">
        <v>128</v>
      </c>
      <c r="B182" s="6" t="s">
        <v>397</v>
      </c>
      <c r="C182" s="2">
        <f>DATE(2025,7,15)+TIME(11,33,36)</f>
        <v>45853.481666666667</v>
      </c>
      <c r="D182" s="1" t="s">
        <v>11</v>
      </c>
      <c r="E182" s="1" t="s">
        <v>12</v>
      </c>
      <c r="F182" s="1" t="s">
        <v>45</v>
      </c>
    </row>
    <row r="183" spans="1:6" ht="15.6" x14ac:dyDescent="0.3">
      <c r="A183" s="6" t="s">
        <v>192</v>
      </c>
      <c r="B183" s="6" t="s">
        <v>398</v>
      </c>
      <c r="C183" s="4">
        <f>DATE(2025,7,15)+TIME(11,31,5)</f>
        <v>45853.47991898148</v>
      </c>
      <c r="D183" s="3" t="s">
        <v>87</v>
      </c>
      <c r="E183" s="3" t="s">
        <v>88</v>
      </c>
      <c r="F183" s="3" t="s">
        <v>84</v>
      </c>
    </row>
    <row r="184" spans="1:6" ht="15.6" x14ac:dyDescent="0.3">
      <c r="A184" s="6" t="s">
        <v>399</v>
      </c>
      <c r="B184" s="6" t="s">
        <v>276</v>
      </c>
      <c r="C184" s="2">
        <f>DATE(2025,7,15)+TIME(11,28,30)</f>
        <v>45853.478125000001</v>
      </c>
      <c r="D184" s="1" t="s">
        <v>7</v>
      </c>
      <c r="E184" s="1" t="s">
        <v>157</v>
      </c>
      <c r="F184" s="1" t="s">
        <v>24</v>
      </c>
    </row>
    <row r="185" spans="1:6" ht="15.6" x14ac:dyDescent="0.3">
      <c r="A185" s="6" t="s">
        <v>400</v>
      </c>
      <c r="B185" s="6" t="s">
        <v>401</v>
      </c>
      <c r="C185" s="4">
        <f>DATE(2025,7,15)+TIME(11,27,20)</f>
        <v>45853.477314814816</v>
      </c>
      <c r="D185" s="3" t="s">
        <v>87</v>
      </c>
      <c r="E185" s="3" t="s">
        <v>88</v>
      </c>
      <c r="F185" s="3" t="s">
        <v>4</v>
      </c>
    </row>
    <row r="186" spans="1:6" ht="15.6" x14ac:dyDescent="0.3">
      <c r="A186" s="6" t="s">
        <v>62</v>
      </c>
      <c r="B186" s="6" t="s">
        <v>402</v>
      </c>
      <c r="C186" s="2">
        <f>DATE(2025,7,15)+TIME(11,11,47)</f>
        <v>45853.466516203705</v>
      </c>
      <c r="D186" s="1" t="s">
        <v>87</v>
      </c>
      <c r="E186" s="1" t="s">
        <v>88</v>
      </c>
      <c r="F186" s="1" t="s">
        <v>172</v>
      </c>
    </row>
    <row r="187" spans="1:6" ht="15.6" x14ac:dyDescent="0.3">
      <c r="A187" s="6" t="s">
        <v>25</v>
      </c>
      <c r="B187" s="6" t="s">
        <v>403</v>
      </c>
      <c r="C187" s="4">
        <f>DATE(2025,7,15)+TIME(10,57,6)</f>
        <v>45853.456319444442</v>
      </c>
      <c r="D187" s="3" t="s">
        <v>7</v>
      </c>
      <c r="E187" s="3" t="s">
        <v>157</v>
      </c>
      <c r="F187" s="3" t="s">
        <v>4</v>
      </c>
    </row>
    <row r="188" spans="1:6" ht="31.2" x14ac:dyDescent="0.3">
      <c r="A188" s="6" t="s">
        <v>404</v>
      </c>
      <c r="B188" s="6" t="s">
        <v>405</v>
      </c>
      <c r="C188" s="2">
        <f>DATE(2025,7,15)+TIME(10,40,27)</f>
        <v>45853.444756944446</v>
      </c>
      <c r="D188" s="1" t="s">
        <v>7</v>
      </c>
      <c r="E188" s="1" t="s">
        <v>157</v>
      </c>
      <c r="F188" s="1" t="s">
        <v>406</v>
      </c>
    </row>
    <row r="189" spans="1:6" ht="15.6" x14ac:dyDescent="0.3">
      <c r="A189" s="6" t="s">
        <v>407</v>
      </c>
      <c r="B189" s="6" t="s">
        <v>408</v>
      </c>
      <c r="C189" s="4">
        <f>DATE(2025,7,15)+TIME(8,59,15)</f>
        <v>45853.374479166669</v>
      </c>
      <c r="D189" s="3" t="s">
        <v>72</v>
      </c>
      <c r="E189" s="3" t="s">
        <v>409</v>
      </c>
      <c r="F189" s="3" t="s">
        <v>4</v>
      </c>
    </row>
    <row r="190" spans="1:6" ht="31.2" x14ac:dyDescent="0.3">
      <c r="A190" s="6" t="s">
        <v>410</v>
      </c>
      <c r="B190" s="6" t="s">
        <v>411</v>
      </c>
      <c r="C190" s="2">
        <f>DATE(2025,7,15)+TIME(7,2,58)</f>
        <v>45853.293726851851</v>
      </c>
      <c r="D190" s="1" t="s">
        <v>117</v>
      </c>
      <c r="E190" s="1" t="s">
        <v>118</v>
      </c>
      <c r="F190" s="1" t="s">
        <v>172</v>
      </c>
    </row>
    <row r="191" spans="1:6" ht="15.6" x14ac:dyDescent="0.3">
      <c r="A191" s="6" t="s">
        <v>412</v>
      </c>
      <c r="B191" s="6" t="s">
        <v>413</v>
      </c>
      <c r="C191" s="4">
        <f>DATE(2025,7,15)+TIME(6,48,22)</f>
        <v>45853.283587962964</v>
      </c>
      <c r="D191" s="3" t="s">
        <v>87</v>
      </c>
      <c r="E191" s="3" t="s">
        <v>414</v>
      </c>
      <c r="F191" s="3" t="s">
        <v>19</v>
      </c>
    </row>
    <row r="192" spans="1:6" ht="31.2" x14ac:dyDescent="0.3">
      <c r="A192" s="6" t="s">
        <v>415</v>
      </c>
      <c r="B192" s="6" t="s">
        <v>416</v>
      </c>
      <c r="C192" s="2">
        <f>DATE(2025,7,15)+TIME(6,32,37)</f>
        <v>45853.272650462961</v>
      </c>
      <c r="D192" s="1" t="s">
        <v>117</v>
      </c>
      <c r="E192" s="1" t="s">
        <v>118</v>
      </c>
      <c r="F192" s="1" t="s">
        <v>154</v>
      </c>
    </row>
    <row r="193" spans="1:6" ht="15.6" x14ac:dyDescent="0.3">
      <c r="A193" s="6" t="s">
        <v>417</v>
      </c>
      <c r="B193" s="6" t="s">
        <v>418</v>
      </c>
      <c r="C193" s="4">
        <f>DATE(2025,7,14)+TIME(18,55,36)</f>
        <v>45852.788611111115</v>
      </c>
      <c r="D193" s="3" t="s">
        <v>22</v>
      </c>
      <c r="E193" s="3" t="s">
        <v>44</v>
      </c>
      <c r="F193" s="3" t="s">
        <v>84</v>
      </c>
    </row>
    <row r="194" spans="1:6" ht="15.6" x14ac:dyDescent="0.3">
      <c r="A194" s="6" t="s">
        <v>419</v>
      </c>
      <c r="B194" s="6" t="s">
        <v>420</v>
      </c>
      <c r="C194" s="2">
        <f>DATE(2025,7,14)+TIME(18,24,53)</f>
        <v>45852.767280092594</v>
      </c>
      <c r="D194" s="1" t="s">
        <v>22</v>
      </c>
      <c r="E194" s="1" t="s">
        <v>421</v>
      </c>
      <c r="F194" s="1" t="s">
        <v>154</v>
      </c>
    </row>
    <row r="195" spans="1:6" ht="15.6" x14ac:dyDescent="0.3">
      <c r="A195" s="6" t="s">
        <v>422</v>
      </c>
      <c r="B195" s="6" t="s">
        <v>423</v>
      </c>
      <c r="C195" s="4">
        <f>DATE(2025,7,14)+TIME(15,7,21)</f>
        <v>45852.630104166667</v>
      </c>
      <c r="D195" s="3" t="s">
        <v>48</v>
      </c>
      <c r="E195" s="3" t="s">
        <v>49</v>
      </c>
      <c r="F195" s="3" t="s">
        <v>4</v>
      </c>
    </row>
    <row r="196" spans="1:6" ht="15.6" x14ac:dyDescent="0.3">
      <c r="A196" s="6" t="s">
        <v>424</v>
      </c>
      <c r="B196" s="6" t="s">
        <v>425</v>
      </c>
      <c r="C196" s="2">
        <f>DATE(2025,7,14)+TIME(12,42,52)</f>
        <v>45852.529768518521</v>
      </c>
      <c r="D196" s="1" t="s">
        <v>22</v>
      </c>
      <c r="E196" s="1" t="s">
        <v>421</v>
      </c>
      <c r="F196" s="1" t="s">
        <v>172</v>
      </c>
    </row>
    <row r="197" spans="1:6" ht="15.6" x14ac:dyDescent="0.3">
      <c r="A197" s="6" t="s">
        <v>228</v>
      </c>
      <c r="B197" s="6" t="s">
        <v>426</v>
      </c>
      <c r="C197" s="4">
        <f>DATE(2025,7,14)+TIME(12,35,50)</f>
        <v>45852.524884259263</v>
      </c>
      <c r="D197" s="3" t="s">
        <v>60</v>
      </c>
      <c r="E197" s="3" t="s">
        <v>366</v>
      </c>
      <c r="F197" s="3" t="s">
        <v>4</v>
      </c>
    </row>
    <row r="198" spans="1:6" ht="15.6" x14ac:dyDescent="0.3">
      <c r="A198" s="6" t="s">
        <v>427</v>
      </c>
      <c r="B198" s="6" t="s">
        <v>39</v>
      </c>
      <c r="C198" s="2">
        <f>DATE(2025,7,14)+TIME(11,36,27)</f>
        <v>45852.48364583333</v>
      </c>
      <c r="D198" s="1" t="s">
        <v>22</v>
      </c>
      <c r="E198" s="1" t="s">
        <v>421</v>
      </c>
      <c r="F198" s="1" t="s">
        <v>4</v>
      </c>
    </row>
    <row r="199" spans="1:6" ht="15.6" x14ac:dyDescent="0.3">
      <c r="A199" s="6" t="s">
        <v>428</v>
      </c>
      <c r="B199" s="6" t="s">
        <v>429</v>
      </c>
      <c r="C199" s="4">
        <f>DATE(2025,7,14)+TIME(11,20,47)</f>
        <v>45852.472766203704</v>
      </c>
      <c r="D199" s="3" t="s">
        <v>22</v>
      </c>
      <c r="E199" s="3" t="s">
        <v>421</v>
      </c>
      <c r="F199" s="3" t="s">
        <v>76</v>
      </c>
    </row>
    <row r="200" spans="1:6" ht="15.6" x14ac:dyDescent="0.3">
      <c r="A200" s="6" t="s">
        <v>430</v>
      </c>
      <c r="B200" s="6" t="s">
        <v>431</v>
      </c>
      <c r="C200" s="2">
        <f>DATE(2025,7,14)+TIME(11,19,53)</f>
        <v>45852.472141203703</v>
      </c>
      <c r="D200" s="1" t="s">
        <v>22</v>
      </c>
      <c r="E200" s="1" t="s">
        <v>421</v>
      </c>
      <c r="F200" s="1" t="s">
        <v>45</v>
      </c>
    </row>
    <row r="201" spans="1:6" ht="15.6" x14ac:dyDescent="0.3">
      <c r="A201" s="6" t="s">
        <v>432</v>
      </c>
      <c r="B201" s="6" t="s">
        <v>433</v>
      </c>
      <c r="C201" s="4">
        <f>DATE(2025,7,14)+TIME(11,19,41)</f>
        <v>45852.472002314818</v>
      </c>
      <c r="D201" s="3" t="s">
        <v>22</v>
      </c>
      <c r="E201" s="3" t="s">
        <v>421</v>
      </c>
      <c r="F201" s="3" t="s">
        <v>141</v>
      </c>
    </row>
    <row r="202" spans="1:6" ht="15.6" x14ac:dyDescent="0.3">
      <c r="A202" s="6" t="s">
        <v>434</v>
      </c>
      <c r="B202" s="6" t="s">
        <v>435</v>
      </c>
      <c r="C202" s="2">
        <f>DATE(2025,7,14)+TIME(11,19,16)</f>
        <v>45852.471712962964</v>
      </c>
      <c r="D202" s="1" t="s">
        <v>22</v>
      </c>
      <c r="E202" s="1" t="s">
        <v>421</v>
      </c>
      <c r="F202" s="1" t="s">
        <v>84</v>
      </c>
    </row>
    <row r="203" spans="1:6" ht="15.6" x14ac:dyDescent="0.3">
      <c r="A203" s="6" t="s">
        <v>436</v>
      </c>
      <c r="B203" s="6" t="s">
        <v>437</v>
      </c>
      <c r="C203" s="4">
        <f>DATE(2025,7,14)+TIME(11,17,49)</f>
        <v>45852.470706018517</v>
      </c>
      <c r="D203" s="3" t="s">
        <v>22</v>
      </c>
      <c r="E203" s="3" t="s">
        <v>421</v>
      </c>
      <c r="F203" s="3" t="s">
        <v>4</v>
      </c>
    </row>
    <row r="204" spans="1:6" ht="15.6" x14ac:dyDescent="0.3">
      <c r="A204" s="6" t="s">
        <v>438</v>
      </c>
      <c r="B204" s="6" t="s">
        <v>439</v>
      </c>
      <c r="C204" s="2">
        <f>DATE(2025,7,14)+TIME(10,26,34)</f>
        <v>45852.435115740744</v>
      </c>
      <c r="D204" s="1" t="s">
        <v>22</v>
      </c>
      <c r="E204" s="1" t="s">
        <v>44</v>
      </c>
      <c r="F204" s="1" t="s">
        <v>24</v>
      </c>
    </row>
    <row r="205" spans="1:6" ht="15.6" x14ac:dyDescent="0.3">
      <c r="A205" s="6" t="s">
        <v>440</v>
      </c>
      <c r="B205" s="6" t="s">
        <v>441</v>
      </c>
      <c r="C205" s="4">
        <f>DATE(2025,7,14)+TIME(10,2,2)</f>
        <v>45852.418078703704</v>
      </c>
      <c r="D205" s="3" t="s">
        <v>22</v>
      </c>
      <c r="E205" s="3" t="s">
        <v>23</v>
      </c>
      <c r="F205" s="3" t="s">
        <v>112</v>
      </c>
    </row>
    <row r="206" spans="1:6" ht="15.6" x14ac:dyDescent="0.3">
      <c r="A206" s="6" t="s">
        <v>442</v>
      </c>
      <c r="B206" s="6" t="s">
        <v>443</v>
      </c>
      <c r="C206" s="2">
        <f>DATE(2025,7,14)+TIME(9,4,21)</f>
        <v>45852.378020833334</v>
      </c>
      <c r="D206" s="1" t="s">
        <v>87</v>
      </c>
      <c r="E206" s="1" t="s">
        <v>363</v>
      </c>
      <c r="F206" s="1" t="s">
        <v>4</v>
      </c>
    </row>
    <row r="207" spans="1:6" ht="15.6" x14ac:dyDescent="0.3">
      <c r="A207" s="6" t="s">
        <v>444</v>
      </c>
      <c r="B207" s="6" t="s">
        <v>445</v>
      </c>
      <c r="C207" s="4">
        <f>DATE(2025,7,13)+TIME(18,40,19)</f>
        <v>45851.777997685182</v>
      </c>
      <c r="D207" s="3" t="s">
        <v>117</v>
      </c>
      <c r="E207" s="3" t="s">
        <v>347</v>
      </c>
      <c r="F207" s="3" t="s">
        <v>172</v>
      </c>
    </row>
    <row r="208" spans="1:6" ht="15.6" x14ac:dyDescent="0.3">
      <c r="A208" s="6" t="s">
        <v>128</v>
      </c>
      <c r="B208" s="6" t="s">
        <v>446</v>
      </c>
      <c r="C208" s="2">
        <f>DATE(2025,7,12)+TIME(10,36,58)</f>
        <v>45850.442337962966</v>
      </c>
      <c r="D208" s="1" t="s">
        <v>87</v>
      </c>
      <c r="E208" s="1" t="s">
        <v>363</v>
      </c>
      <c r="F208" s="1" t="s">
        <v>130</v>
      </c>
    </row>
    <row r="209" spans="1:6" ht="15.6" x14ac:dyDescent="0.3">
      <c r="A209" s="6" t="s">
        <v>447</v>
      </c>
      <c r="B209" s="6" t="s">
        <v>448</v>
      </c>
      <c r="C209" s="4">
        <f>DATE(2025,7,11)+TIME(14,5,32)</f>
        <v>45849.587175925924</v>
      </c>
      <c r="D209" s="3" t="s">
        <v>22</v>
      </c>
      <c r="E209" s="3" t="s">
        <v>449</v>
      </c>
      <c r="F209" s="3" t="s">
        <v>24</v>
      </c>
    </row>
    <row r="210" spans="1:6" ht="15.6" x14ac:dyDescent="0.3">
      <c r="A210" s="6" t="s">
        <v>450</v>
      </c>
      <c r="B210" s="6" t="s">
        <v>451</v>
      </c>
      <c r="C210" s="2">
        <f>DATE(2025,7,11)+TIME(14,2,43)</f>
        <v>45849.585219907407</v>
      </c>
      <c r="D210" s="1" t="s">
        <v>72</v>
      </c>
      <c r="E210" s="1" t="s">
        <v>354</v>
      </c>
      <c r="F210" s="1" t="s">
        <v>92</v>
      </c>
    </row>
    <row r="211" spans="1:6" ht="15.6" x14ac:dyDescent="0.3">
      <c r="A211" s="6" t="s">
        <v>452</v>
      </c>
      <c r="B211" s="6" t="s">
        <v>453</v>
      </c>
      <c r="C211" s="4">
        <f>DATE(2025,7,11)+TIME(13,33,31)</f>
        <v>45849.564942129633</v>
      </c>
      <c r="D211" s="3" t="s">
        <v>22</v>
      </c>
      <c r="E211" s="3" t="s">
        <v>44</v>
      </c>
      <c r="F211" s="3" t="s">
        <v>141</v>
      </c>
    </row>
    <row r="212" spans="1:6" ht="15.6" x14ac:dyDescent="0.3">
      <c r="A212" s="6" t="s">
        <v>454</v>
      </c>
      <c r="B212" s="6" t="s">
        <v>455</v>
      </c>
      <c r="C212" s="2">
        <f>DATE(2025,7,11)+TIME(13,33,19)</f>
        <v>45849.564803240741</v>
      </c>
      <c r="D212" s="1" t="s">
        <v>22</v>
      </c>
      <c r="E212" s="1" t="s">
        <v>449</v>
      </c>
      <c r="F212" s="1" t="s">
        <v>4</v>
      </c>
    </row>
    <row r="213" spans="1:6" ht="15.6" x14ac:dyDescent="0.3">
      <c r="A213" s="6" t="s">
        <v>20</v>
      </c>
      <c r="B213" s="6" t="s">
        <v>78</v>
      </c>
      <c r="C213" s="4">
        <f>DATE(2025,7,11)+TIME(13,9,50)</f>
        <v>45849.548495370371</v>
      </c>
      <c r="D213" s="3" t="s">
        <v>72</v>
      </c>
      <c r="E213" s="3" t="s">
        <v>354</v>
      </c>
      <c r="F213" s="3" t="s">
        <v>19</v>
      </c>
    </row>
    <row r="214" spans="1:6" ht="15.6" x14ac:dyDescent="0.3">
      <c r="A214" s="6" t="s">
        <v>456</v>
      </c>
      <c r="B214" s="6" t="s">
        <v>457</v>
      </c>
      <c r="C214" s="2">
        <f>DATE(2025,7,11)+TIME(11,51,5)</f>
        <v>45849.493807870371</v>
      </c>
      <c r="D214" s="1" t="s">
        <v>22</v>
      </c>
      <c r="E214" s="1" t="s">
        <v>44</v>
      </c>
      <c r="F214" s="1" t="s">
        <v>172</v>
      </c>
    </row>
    <row r="215" spans="1:6" ht="15.6" x14ac:dyDescent="0.3">
      <c r="A215" s="6" t="s">
        <v>39</v>
      </c>
      <c r="B215" s="6" t="s">
        <v>458</v>
      </c>
      <c r="C215" s="4">
        <f>DATE(2025,7,11)+TIME(11,0,21)</f>
        <v>45849.45857638889</v>
      </c>
      <c r="D215" s="3" t="s">
        <v>22</v>
      </c>
      <c r="E215" s="3" t="s">
        <v>44</v>
      </c>
      <c r="F215" s="3" t="s">
        <v>66</v>
      </c>
    </row>
    <row r="216" spans="1:6" ht="15.6" x14ac:dyDescent="0.3">
      <c r="A216" s="6" t="s">
        <v>459</v>
      </c>
      <c r="B216" s="6" t="s">
        <v>460</v>
      </c>
      <c r="C216" s="2">
        <f>DATE(2025,7,11)+TIME(10,57,15)</f>
        <v>45849.456423611111</v>
      </c>
      <c r="D216" s="1" t="s">
        <v>22</v>
      </c>
      <c r="E216" s="1" t="s">
        <v>44</v>
      </c>
      <c r="F216" s="1" t="s">
        <v>4</v>
      </c>
    </row>
    <row r="217" spans="1:6" ht="15.6" x14ac:dyDescent="0.3">
      <c r="A217" s="6" t="s">
        <v>54</v>
      </c>
      <c r="B217" s="6" t="s">
        <v>461</v>
      </c>
      <c r="C217" s="4">
        <f>DATE(2025,7,11)+TIME(10,51,24)</f>
        <v>45849.452361111114</v>
      </c>
      <c r="D217" s="3" t="s">
        <v>22</v>
      </c>
      <c r="E217" s="3" t="s">
        <v>44</v>
      </c>
      <c r="F217" s="3" t="s">
        <v>154</v>
      </c>
    </row>
    <row r="218" spans="1:6" ht="31.2" x14ac:dyDescent="0.3">
      <c r="A218" s="6" t="s">
        <v>93</v>
      </c>
      <c r="B218" s="6" t="s">
        <v>462</v>
      </c>
      <c r="C218" s="2">
        <f>DATE(2025,7,11)+TIME(9,49,15)</f>
        <v>45849.409201388888</v>
      </c>
      <c r="D218" s="1" t="s">
        <v>11</v>
      </c>
      <c r="E218" s="1" t="s">
        <v>12</v>
      </c>
      <c r="F218" s="1" t="s">
        <v>4</v>
      </c>
    </row>
    <row r="219" spans="1:6" ht="15.6" x14ac:dyDescent="0.3">
      <c r="A219" s="6" t="s">
        <v>463</v>
      </c>
      <c r="B219" s="6" t="s">
        <v>464</v>
      </c>
      <c r="C219" s="4">
        <f>DATE(2025,7,11)+TIME(6,49,51)</f>
        <v>45849.284618055557</v>
      </c>
      <c r="D219" s="3" t="s">
        <v>87</v>
      </c>
      <c r="E219" s="3" t="s">
        <v>363</v>
      </c>
      <c r="F219" s="3" t="s">
        <v>66</v>
      </c>
    </row>
    <row r="220" spans="1:6" ht="15.6" x14ac:dyDescent="0.3">
      <c r="A220" s="6" t="s">
        <v>465</v>
      </c>
      <c r="B220" s="6" t="s">
        <v>466</v>
      </c>
      <c r="C220" s="2">
        <f>DATE(2025,7,10)+TIME(20,37,9)</f>
        <v>45848.859131944446</v>
      </c>
      <c r="D220" s="1" t="s">
        <v>11</v>
      </c>
      <c r="E220" s="1" t="s">
        <v>467</v>
      </c>
      <c r="F220" s="1" t="s">
        <v>24</v>
      </c>
    </row>
    <row r="221" spans="1:6" ht="15.6" x14ac:dyDescent="0.3">
      <c r="A221" s="6" t="s">
        <v>468</v>
      </c>
      <c r="B221" s="6" t="s">
        <v>469</v>
      </c>
      <c r="C221" s="4">
        <f>DATE(2025,7,10)+TIME(19,14,42)</f>
        <v>45848.801874999997</v>
      </c>
      <c r="D221" s="3" t="s">
        <v>72</v>
      </c>
      <c r="E221" s="3" t="s">
        <v>409</v>
      </c>
      <c r="F221" s="3" t="s">
        <v>4</v>
      </c>
    </row>
    <row r="222" spans="1:6" ht="31.2" x14ac:dyDescent="0.3">
      <c r="A222" s="6" t="s">
        <v>470</v>
      </c>
      <c r="B222" s="6" t="s">
        <v>471</v>
      </c>
      <c r="C222" s="2">
        <f>DATE(2025,7,10)+TIME(16,29,23)</f>
        <v>45848.687071759261</v>
      </c>
      <c r="D222" s="1" t="s">
        <v>87</v>
      </c>
      <c r="E222" s="1" t="s">
        <v>363</v>
      </c>
      <c r="F222" s="1" t="s">
        <v>57</v>
      </c>
    </row>
    <row r="223" spans="1:6" ht="15.6" x14ac:dyDescent="0.3">
      <c r="A223" s="6" t="s">
        <v>62</v>
      </c>
      <c r="B223" s="6" t="s">
        <v>472</v>
      </c>
      <c r="C223" s="4">
        <f>DATE(2025,7,10)+TIME(16,8,19)</f>
        <v>45848.672442129631</v>
      </c>
      <c r="D223" s="3" t="s">
        <v>117</v>
      </c>
      <c r="E223" s="3" t="s">
        <v>473</v>
      </c>
      <c r="F223" s="3" t="s">
        <v>4</v>
      </c>
    </row>
    <row r="224" spans="1:6" ht="15.6" x14ac:dyDescent="0.3">
      <c r="A224" s="6" t="s">
        <v>474</v>
      </c>
      <c r="B224" s="6" t="s">
        <v>475</v>
      </c>
      <c r="C224" s="2">
        <f>DATE(2025,7,10)+TIME(15,51,43)</f>
        <v>45848.660914351851</v>
      </c>
      <c r="D224" s="1" t="s">
        <v>72</v>
      </c>
      <c r="E224" s="1" t="s">
        <v>354</v>
      </c>
      <c r="F224" s="1" t="s">
        <v>4</v>
      </c>
    </row>
    <row r="225" spans="1:6" ht="15.6" x14ac:dyDescent="0.3">
      <c r="A225" s="6" t="s">
        <v>476</v>
      </c>
      <c r="B225" s="6" t="s">
        <v>477</v>
      </c>
      <c r="C225" s="4">
        <f>DATE(2025,7,10)+TIME(15,29,44)</f>
        <v>45848.645648148151</v>
      </c>
      <c r="D225" s="3" t="s">
        <v>72</v>
      </c>
      <c r="E225" s="3" t="s">
        <v>354</v>
      </c>
      <c r="F225" s="3" t="s">
        <v>24</v>
      </c>
    </row>
    <row r="226" spans="1:6" ht="31.2" x14ac:dyDescent="0.3">
      <c r="A226" s="6" t="s">
        <v>108</v>
      </c>
      <c r="B226" s="6" t="s">
        <v>478</v>
      </c>
      <c r="C226" s="2">
        <f>DATE(2025,7,10)+TIME(15,27,24)</f>
        <v>45848.64402777778</v>
      </c>
      <c r="D226" s="1" t="s">
        <v>72</v>
      </c>
      <c r="E226" s="1" t="s">
        <v>354</v>
      </c>
      <c r="F226" s="1" t="s">
        <v>57</v>
      </c>
    </row>
    <row r="227" spans="1:6" ht="15.6" x14ac:dyDescent="0.3">
      <c r="A227" s="6" t="s">
        <v>479</v>
      </c>
      <c r="B227" s="6" t="s">
        <v>480</v>
      </c>
      <c r="C227" s="4">
        <f>DATE(2025,7,10)+TIME(14,40,8)</f>
        <v>45848.611203703702</v>
      </c>
      <c r="D227" s="3" t="s">
        <v>72</v>
      </c>
      <c r="E227" s="3" t="s">
        <v>354</v>
      </c>
      <c r="F227" s="3" t="s">
        <v>130</v>
      </c>
    </row>
    <row r="228" spans="1:6" ht="31.2" x14ac:dyDescent="0.3">
      <c r="A228" s="6" t="s">
        <v>481</v>
      </c>
      <c r="B228" s="6" t="s">
        <v>482</v>
      </c>
      <c r="C228" s="2">
        <f>DATE(2025,7,10)+TIME(12,15,7)</f>
        <v>45848.510497685187</v>
      </c>
      <c r="D228" s="1" t="s">
        <v>11</v>
      </c>
      <c r="E228" s="1" t="s">
        <v>12</v>
      </c>
      <c r="F228" s="1" t="s">
        <v>154</v>
      </c>
    </row>
    <row r="229" spans="1:6" ht="15.6" x14ac:dyDescent="0.3">
      <c r="A229" s="6" t="s">
        <v>361</v>
      </c>
      <c r="B229" s="6" t="s">
        <v>483</v>
      </c>
      <c r="C229" s="4">
        <f>DATE(2025,7,10)+TIME(11,45,44)</f>
        <v>45848.49009259259</v>
      </c>
      <c r="D229" s="3" t="s">
        <v>87</v>
      </c>
      <c r="E229" s="3" t="s">
        <v>363</v>
      </c>
      <c r="F229" s="3" t="s">
        <v>24</v>
      </c>
    </row>
    <row r="230" spans="1:6" ht="15.6" x14ac:dyDescent="0.3">
      <c r="A230" s="6" t="s">
        <v>484</v>
      </c>
      <c r="B230" s="6" t="s">
        <v>485</v>
      </c>
      <c r="C230" s="2">
        <f>DATE(2025,7,10)+TIME(9,37,24)</f>
        <v>45848.400972222225</v>
      </c>
      <c r="D230" s="1" t="s">
        <v>117</v>
      </c>
      <c r="E230" s="1" t="s">
        <v>473</v>
      </c>
      <c r="F230" s="1" t="s">
        <v>76</v>
      </c>
    </row>
    <row r="231" spans="1:6" ht="15.6" x14ac:dyDescent="0.3">
      <c r="A231" s="6" t="s">
        <v>345</v>
      </c>
      <c r="B231" s="6" t="s">
        <v>486</v>
      </c>
      <c r="C231" s="4">
        <f>DATE(2025,7,10)+TIME(9,17,58)</f>
        <v>45848.387476851851</v>
      </c>
      <c r="D231" s="3" t="s">
        <v>117</v>
      </c>
      <c r="E231" s="3" t="s">
        <v>473</v>
      </c>
      <c r="F231" s="3" t="s">
        <v>66</v>
      </c>
    </row>
    <row r="232" spans="1:6" ht="15.6" x14ac:dyDescent="0.3">
      <c r="A232" s="6" t="s">
        <v>487</v>
      </c>
      <c r="B232" s="6" t="s">
        <v>462</v>
      </c>
      <c r="C232" s="2">
        <f>DATE(2025,7,10)+TIME(9,8,28)</f>
        <v>45848.380879629629</v>
      </c>
      <c r="D232" s="1" t="s">
        <v>87</v>
      </c>
      <c r="E232" s="1" t="s">
        <v>363</v>
      </c>
      <c r="F232" s="1" t="s">
        <v>84</v>
      </c>
    </row>
    <row r="233" spans="1:6" ht="15.6" x14ac:dyDescent="0.3">
      <c r="A233" s="6" t="s">
        <v>488</v>
      </c>
      <c r="B233" s="6" t="s">
        <v>489</v>
      </c>
      <c r="C233" s="4">
        <f>DATE(2025,7,10)+TIME(9,3,20)</f>
        <v>45848.377314814818</v>
      </c>
      <c r="D233" s="3" t="s">
        <v>117</v>
      </c>
      <c r="E233" s="3" t="s">
        <v>473</v>
      </c>
      <c r="F233" s="3" t="s">
        <v>45</v>
      </c>
    </row>
    <row r="234" spans="1:6" ht="15.6" x14ac:dyDescent="0.3">
      <c r="A234" s="6" t="s">
        <v>490</v>
      </c>
      <c r="B234" s="6" t="s">
        <v>491</v>
      </c>
      <c r="C234" s="2">
        <f>DATE(2025,7,10)+TIME(8,49,50)</f>
        <v>45848.367939814816</v>
      </c>
      <c r="D234" s="1" t="s">
        <v>117</v>
      </c>
      <c r="E234" s="1" t="s">
        <v>473</v>
      </c>
      <c r="F234" s="1" t="s">
        <v>4</v>
      </c>
    </row>
    <row r="235" spans="1:6" ht="15.6" x14ac:dyDescent="0.3">
      <c r="A235" s="6" t="s">
        <v>492</v>
      </c>
      <c r="B235" s="6" t="s">
        <v>493</v>
      </c>
      <c r="C235" s="4">
        <f>DATE(2025,7,10)+TIME(8,47,53)</f>
        <v>45848.366585648146</v>
      </c>
      <c r="D235" s="3" t="s">
        <v>117</v>
      </c>
      <c r="E235" s="3" t="s">
        <v>473</v>
      </c>
      <c r="F235" s="3" t="s">
        <v>19</v>
      </c>
    </row>
    <row r="236" spans="1:6" ht="15.6" x14ac:dyDescent="0.3">
      <c r="A236" s="6" t="s">
        <v>494</v>
      </c>
      <c r="B236" s="6" t="s">
        <v>495</v>
      </c>
      <c r="C236" s="2">
        <f>DATE(2025,7,10)+TIME(8,47,51)</f>
        <v>45848.366562499999</v>
      </c>
      <c r="D236" s="1" t="s">
        <v>117</v>
      </c>
      <c r="E236" s="1" t="s">
        <v>473</v>
      </c>
      <c r="F236" s="1" t="s">
        <v>172</v>
      </c>
    </row>
    <row r="237" spans="1:6" ht="15.6" x14ac:dyDescent="0.3">
      <c r="A237" s="6" t="s">
        <v>496</v>
      </c>
      <c r="B237" s="6" t="s">
        <v>497</v>
      </c>
      <c r="C237" s="4">
        <f>DATE(2025,7,10)+TIME(8,42,59)</f>
        <v>45848.363182870373</v>
      </c>
      <c r="D237" s="3" t="s">
        <v>87</v>
      </c>
      <c r="E237" s="3" t="s">
        <v>363</v>
      </c>
      <c r="F237" s="3" t="s">
        <v>141</v>
      </c>
    </row>
    <row r="238" spans="1:6" ht="15.6" x14ac:dyDescent="0.3">
      <c r="A238" s="6" t="s">
        <v>498</v>
      </c>
      <c r="B238" s="6" t="s">
        <v>499</v>
      </c>
      <c r="C238" s="2">
        <f>DATE(2025,7,10)+TIME(8,28,57)</f>
        <v>45848.353437500002</v>
      </c>
      <c r="D238" s="1" t="s">
        <v>87</v>
      </c>
      <c r="E238" s="1" t="s">
        <v>363</v>
      </c>
      <c r="F238" s="1" t="s">
        <v>159</v>
      </c>
    </row>
    <row r="239" spans="1:6" ht="15.6" x14ac:dyDescent="0.3">
      <c r="A239" s="6" t="s">
        <v>500</v>
      </c>
      <c r="B239" s="6" t="s">
        <v>501</v>
      </c>
      <c r="C239" s="4">
        <f>DATE(2025,7,10)+TIME(8,11,17)</f>
        <v>45848.341168981482</v>
      </c>
      <c r="D239" s="3" t="s">
        <v>87</v>
      </c>
      <c r="E239" s="3" t="s">
        <v>363</v>
      </c>
      <c r="F239" s="3" t="s">
        <v>24</v>
      </c>
    </row>
    <row r="240" spans="1:6" ht="15.6" x14ac:dyDescent="0.3">
      <c r="A240" s="6" t="s">
        <v>502</v>
      </c>
      <c r="B240" s="6" t="s">
        <v>503</v>
      </c>
      <c r="C240" s="2">
        <f>DATE(2025,7,10)+TIME(8,9,29)</f>
        <v>45848.339918981481</v>
      </c>
      <c r="D240" s="1" t="s">
        <v>87</v>
      </c>
      <c r="E240" s="1" t="s">
        <v>363</v>
      </c>
      <c r="F240" s="1" t="s">
        <v>4</v>
      </c>
    </row>
    <row r="241" spans="1:6" ht="15.6" x14ac:dyDescent="0.3">
      <c r="A241" s="6" t="s">
        <v>504</v>
      </c>
      <c r="B241" s="6" t="s">
        <v>505</v>
      </c>
      <c r="C241" s="4">
        <f>DATE(2025,7,10)+TIME(7,53,42)</f>
        <v>45848.328958333332</v>
      </c>
      <c r="D241" s="3" t="s">
        <v>87</v>
      </c>
      <c r="E241" s="3" t="s">
        <v>363</v>
      </c>
      <c r="F241" s="3" t="s">
        <v>130</v>
      </c>
    </row>
    <row r="242" spans="1:6" ht="15.6" x14ac:dyDescent="0.3">
      <c r="A242" s="6" t="s">
        <v>275</v>
      </c>
      <c r="B242" s="6" t="s">
        <v>506</v>
      </c>
      <c r="C242" s="2">
        <f>DATE(2025,7,10)+TIME(6,32,34)</f>
        <v>45848.272615740738</v>
      </c>
      <c r="D242" s="1" t="s">
        <v>87</v>
      </c>
      <c r="E242" s="1" t="s">
        <v>363</v>
      </c>
      <c r="F242" s="1" t="s">
        <v>19</v>
      </c>
    </row>
    <row r="243" spans="1:6" ht="15.6" x14ac:dyDescent="0.3">
      <c r="A243" s="6" t="s">
        <v>507</v>
      </c>
      <c r="B243" s="6" t="s">
        <v>508</v>
      </c>
      <c r="C243" s="4">
        <f>DATE(2025,7,9)+TIME(18,23,43)</f>
        <v>45847.766469907408</v>
      </c>
      <c r="D243" s="3" t="s">
        <v>87</v>
      </c>
      <c r="E243" s="3" t="s">
        <v>363</v>
      </c>
      <c r="F243" s="3" t="s">
        <v>45</v>
      </c>
    </row>
    <row r="244" spans="1:6" ht="15.6" x14ac:dyDescent="0.3">
      <c r="A244" s="6" t="s">
        <v>509</v>
      </c>
      <c r="B244" s="6" t="s">
        <v>510</v>
      </c>
      <c r="C244" s="2">
        <f>DATE(2025,7,9)+TIME(17,49,44)</f>
        <v>45847.74287037037</v>
      </c>
      <c r="D244" s="1" t="s">
        <v>87</v>
      </c>
      <c r="E244" s="1" t="s">
        <v>363</v>
      </c>
      <c r="F244" s="1" t="s">
        <v>172</v>
      </c>
    </row>
    <row r="245" spans="1:6" ht="15.6" x14ac:dyDescent="0.3">
      <c r="A245" s="6" t="s">
        <v>511</v>
      </c>
      <c r="B245" s="6" t="s">
        <v>512</v>
      </c>
      <c r="C245" s="4">
        <f>DATE(2025,7,9)+TIME(17,37,35)</f>
        <v>45847.734432870369</v>
      </c>
      <c r="D245" s="3" t="s">
        <v>87</v>
      </c>
      <c r="E245" s="3" t="s">
        <v>363</v>
      </c>
      <c r="F245" s="3" t="s">
        <v>4</v>
      </c>
    </row>
    <row r="246" spans="1:6" ht="15.6" x14ac:dyDescent="0.3">
      <c r="A246" s="6" t="s">
        <v>193</v>
      </c>
      <c r="B246" s="6" t="s">
        <v>513</v>
      </c>
      <c r="C246" s="2">
        <f>DATE(2025,7,9)+TIME(17,17,30)</f>
        <v>45847.720486111109</v>
      </c>
      <c r="D246" s="1" t="s">
        <v>22</v>
      </c>
      <c r="E246" s="1" t="s">
        <v>23</v>
      </c>
      <c r="F246" s="1" t="s">
        <v>263</v>
      </c>
    </row>
    <row r="247" spans="1:6" ht="15.6" x14ac:dyDescent="0.3">
      <c r="A247" s="6" t="s">
        <v>514</v>
      </c>
      <c r="B247" s="6" t="s">
        <v>505</v>
      </c>
      <c r="C247" s="4">
        <f>DATE(2025,7,9)+TIME(17,10,16)</f>
        <v>45847.715462962966</v>
      </c>
      <c r="D247" s="3" t="s">
        <v>48</v>
      </c>
      <c r="E247" s="3" t="s">
        <v>49</v>
      </c>
      <c r="F247" s="3" t="s">
        <v>4</v>
      </c>
    </row>
    <row r="248" spans="1:6" ht="15.6" x14ac:dyDescent="0.3">
      <c r="A248" s="6" t="s">
        <v>39</v>
      </c>
      <c r="B248" s="6" t="s">
        <v>515</v>
      </c>
      <c r="C248" s="2">
        <f>DATE(2025,7,9)+TIME(17,9,51)</f>
        <v>45847.715173611112</v>
      </c>
      <c r="D248" s="1" t="s">
        <v>22</v>
      </c>
      <c r="E248" s="1" t="s">
        <v>23</v>
      </c>
      <c r="F248" s="1" t="s">
        <v>172</v>
      </c>
    </row>
    <row r="249" spans="1:6" ht="15.6" x14ac:dyDescent="0.3">
      <c r="A249" s="6" t="s">
        <v>173</v>
      </c>
      <c r="B249" s="6" t="s">
        <v>516</v>
      </c>
      <c r="C249" s="4">
        <f>DATE(2025,7,9)+TIME(16,55,5)</f>
        <v>45847.704918981479</v>
      </c>
      <c r="D249" s="3" t="s">
        <v>87</v>
      </c>
      <c r="E249" s="3" t="s">
        <v>363</v>
      </c>
      <c r="F249" s="3" t="s">
        <v>24</v>
      </c>
    </row>
    <row r="250" spans="1:6" ht="15.6" x14ac:dyDescent="0.3">
      <c r="A250" s="6" t="s">
        <v>232</v>
      </c>
      <c r="B250" s="6" t="s">
        <v>517</v>
      </c>
      <c r="C250" s="2">
        <f>DATE(2025,7,9)+TIME(16,49,56)</f>
        <v>45847.701342592591</v>
      </c>
      <c r="D250" s="1" t="s">
        <v>87</v>
      </c>
      <c r="E250" s="1" t="s">
        <v>363</v>
      </c>
      <c r="F250" s="1" t="s">
        <v>130</v>
      </c>
    </row>
    <row r="251" spans="1:6" ht="15.6" x14ac:dyDescent="0.3">
      <c r="A251" s="6" t="s">
        <v>463</v>
      </c>
      <c r="B251" s="6" t="s">
        <v>518</v>
      </c>
      <c r="C251" s="4">
        <f>DATE(2025,7,9)+TIME(16,30,48)</f>
        <v>45847.688055555554</v>
      </c>
      <c r="D251" s="3" t="s">
        <v>87</v>
      </c>
      <c r="E251" s="3" t="s">
        <v>363</v>
      </c>
      <c r="F251" s="3" t="s">
        <v>76</v>
      </c>
    </row>
    <row r="252" spans="1:6" ht="15.6" x14ac:dyDescent="0.3">
      <c r="A252" s="6" t="s">
        <v>5</v>
      </c>
      <c r="B252" s="6" t="s">
        <v>519</v>
      </c>
      <c r="C252" s="2">
        <f>DATE(2025,7,9)+TIME(16,9,23)</f>
        <v>45847.673182870371</v>
      </c>
      <c r="D252" s="1" t="s">
        <v>22</v>
      </c>
      <c r="E252" s="1" t="s">
        <v>44</v>
      </c>
      <c r="F252" s="1" t="s">
        <v>159</v>
      </c>
    </row>
    <row r="253" spans="1:6" ht="15.6" x14ac:dyDescent="0.3">
      <c r="A253" s="6" t="s">
        <v>13</v>
      </c>
      <c r="B253" s="6" t="s">
        <v>520</v>
      </c>
      <c r="C253" s="4">
        <f>DATE(2025,7,9)+TIME(15,33,53)</f>
        <v>45847.648530092592</v>
      </c>
      <c r="D253" s="3" t="s">
        <v>90</v>
      </c>
      <c r="E253" s="3" t="s">
        <v>521</v>
      </c>
      <c r="F253" s="3" t="s">
        <v>112</v>
      </c>
    </row>
    <row r="254" spans="1:6" ht="15.6" x14ac:dyDescent="0.3">
      <c r="A254" s="6" t="s">
        <v>522</v>
      </c>
      <c r="B254" s="6" t="s">
        <v>523</v>
      </c>
      <c r="C254" s="2">
        <f>DATE(2025,7,9)+TIME(15,15,21)</f>
        <v>45847.635659722226</v>
      </c>
      <c r="D254" s="1" t="s">
        <v>90</v>
      </c>
      <c r="E254" s="1" t="s">
        <v>521</v>
      </c>
      <c r="F254" s="1" t="s">
        <v>4</v>
      </c>
    </row>
    <row r="255" spans="1:6" ht="15.6" x14ac:dyDescent="0.3">
      <c r="A255" s="6" t="s">
        <v>524</v>
      </c>
      <c r="B255" s="6" t="s">
        <v>525</v>
      </c>
      <c r="C255" s="4">
        <f>DATE(2025,7,9)+TIME(14,59,44)</f>
        <v>45847.624814814815</v>
      </c>
      <c r="D255" s="3" t="s">
        <v>90</v>
      </c>
      <c r="E255" s="3" t="s">
        <v>521</v>
      </c>
      <c r="F255" s="3" t="s">
        <v>24</v>
      </c>
    </row>
    <row r="256" spans="1:6" ht="15.6" x14ac:dyDescent="0.3">
      <c r="A256" s="6" t="s">
        <v>361</v>
      </c>
      <c r="B256" s="6" t="s">
        <v>526</v>
      </c>
      <c r="C256" s="2">
        <f>DATE(2025,7,9)+TIME(13,58,45)</f>
        <v>45847.582465277781</v>
      </c>
      <c r="D256" s="1" t="s">
        <v>117</v>
      </c>
      <c r="E256" s="1" t="s">
        <v>149</v>
      </c>
      <c r="F256" s="1" t="s">
        <v>154</v>
      </c>
    </row>
    <row r="257" spans="1:6" ht="15.6" x14ac:dyDescent="0.3">
      <c r="A257" s="6" t="s">
        <v>527</v>
      </c>
      <c r="B257" s="6" t="s">
        <v>528</v>
      </c>
      <c r="C257" s="4">
        <f>DATE(2025,7,9)+TIME(13,11,21)</f>
        <v>45847.54954861111</v>
      </c>
      <c r="D257" s="3" t="s">
        <v>72</v>
      </c>
      <c r="E257" s="3" t="s">
        <v>354</v>
      </c>
      <c r="F257" s="3" t="s">
        <v>24</v>
      </c>
    </row>
    <row r="258" spans="1:6" ht="15.6" x14ac:dyDescent="0.3">
      <c r="A258" s="6" t="s">
        <v>529</v>
      </c>
      <c r="B258" s="6" t="s">
        <v>530</v>
      </c>
      <c r="C258" s="2">
        <f>DATE(2025,7,9)+TIME(12,54,43)</f>
        <v>45847.537997685184</v>
      </c>
      <c r="D258" s="1" t="s">
        <v>72</v>
      </c>
      <c r="E258" s="1" t="s">
        <v>73</v>
      </c>
      <c r="F258" s="1" t="s">
        <v>112</v>
      </c>
    </row>
    <row r="259" spans="1:6" ht="15.6" x14ac:dyDescent="0.3">
      <c r="A259" s="6" t="s">
        <v>25</v>
      </c>
      <c r="B259" s="6" t="s">
        <v>531</v>
      </c>
      <c r="C259" s="4">
        <f>DATE(2025,7,9)+TIME(12,53,55)</f>
        <v>45847.537442129629</v>
      </c>
      <c r="D259" s="3" t="s">
        <v>72</v>
      </c>
      <c r="E259" s="3" t="s">
        <v>73</v>
      </c>
      <c r="F259" s="3" t="s">
        <v>4</v>
      </c>
    </row>
    <row r="260" spans="1:6" ht="15.6" x14ac:dyDescent="0.3">
      <c r="A260" s="6" t="s">
        <v>372</v>
      </c>
      <c r="B260" s="6" t="s">
        <v>532</v>
      </c>
      <c r="C260" s="2">
        <f>DATE(2025,7,9)+TIME(12,41,11)</f>
        <v>45847.528599537036</v>
      </c>
      <c r="D260" s="1" t="s">
        <v>22</v>
      </c>
      <c r="E260" s="1" t="s">
        <v>449</v>
      </c>
      <c r="F260" s="1" t="s">
        <v>172</v>
      </c>
    </row>
    <row r="261" spans="1:6" ht="15.6" x14ac:dyDescent="0.3">
      <c r="A261" s="6" t="s">
        <v>533</v>
      </c>
      <c r="B261" s="6" t="s">
        <v>534</v>
      </c>
      <c r="C261" s="4">
        <f>DATE(2025,7,9)+TIME(12,26,2)</f>
        <v>45847.518078703702</v>
      </c>
      <c r="D261" s="3" t="s">
        <v>22</v>
      </c>
      <c r="E261" s="3" t="s">
        <v>23</v>
      </c>
      <c r="F261" s="3" t="s">
        <v>84</v>
      </c>
    </row>
    <row r="262" spans="1:6" ht="15.6" x14ac:dyDescent="0.3">
      <c r="A262" s="6" t="s">
        <v>295</v>
      </c>
      <c r="B262" s="6" t="s">
        <v>535</v>
      </c>
      <c r="C262" s="2">
        <f>DATE(2025,7,9)+TIME(12,17,24)</f>
        <v>45847.512083333335</v>
      </c>
      <c r="D262" s="1" t="s">
        <v>72</v>
      </c>
      <c r="E262" s="1" t="s">
        <v>73</v>
      </c>
      <c r="F262" s="1" t="s">
        <v>66</v>
      </c>
    </row>
    <row r="263" spans="1:6" ht="15.6" x14ac:dyDescent="0.3">
      <c r="A263" s="6" t="s">
        <v>536</v>
      </c>
      <c r="B263" s="6" t="s">
        <v>537</v>
      </c>
      <c r="C263" s="4">
        <f>DATE(2025,7,9)+TIME(11,52,51)</f>
        <v>45847.495034722226</v>
      </c>
      <c r="D263" s="3" t="s">
        <v>72</v>
      </c>
      <c r="E263" s="3" t="s">
        <v>73</v>
      </c>
      <c r="F263" s="3" t="s">
        <v>4</v>
      </c>
    </row>
    <row r="264" spans="1:6" ht="15.6" x14ac:dyDescent="0.3">
      <c r="A264" s="6" t="s">
        <v>314</v>
      </c>
      <c r="B264" s="6" t="s">
        <v>538</v>
      </c>
      <c r="C264" s="2">
        <f>DATE(2025,7,9)+TIME(11,34,52)</f>
        <v>45847.482546296298</v>
      </c>
      <c r="D264" s="1" t="s">
        <v>72</v>
      </c>
      <c r="E264" s="1" t="s">
        <v>73</v>
      </c>
      <c r="F264" s="1" t="s">
        <v>4</v>
      </c>
    </row>
    <row r="265" spans="1:6" ht="15.6" x14ac:dyDescent="0.3">
      <c r="A265" s="6" t="s">
        <v>539</v>
      </c>
      <c r="B265" s="6" t="s">
        <v>540</v>
      </c>
      <c r="C265" s="4">
        <f>DATE(2025,7,9)+TIME(11,27,45)</f>
        <v>45847.47760416667</v>
      </c>
      <c r="D265" s="3" t="s">
        <v>72</v>
      </c>
      <c r="E265" s="3" t="s">
        <v>409</v>
      </c>
      <c r="F265" s="3" t="s">
        <v>4</v>
      </c>
    </row>
    <row r="266" spans="1:6" ht="15.6" x14ac:dyDescent="0.3">
      <c r="A266" s="6" t="s">
        <v>541</v>
      </c>
      <c r="B266" s="6" t="s">
        <v>542</v>
      </c>
      <c r="C266" s="2">
        <f>DATE(2025,7,9)+TIME(11,17,25)</f>
        <v>45847.47042824074</v>
      </c>
      <c r="D266" s="1" t="s">
        <v>72</v>
      </c>
      <c r="E266" s="1" t="s">
        <v>73</v>
      </c>
      <c r="F266" s="1" t="s">
        <v>154</v>
      </c>
    </row>
    <row r="267" spans="1:6" ht="15.6" x14ac:dyDescent="0.3">
      <c r="A267" s="6" t="s">
        <v>372</v>
      </c>
      <c r="B267" s="6" t="s">
        <v>543</v>
      </c>
      <c r="C267" s="4">
        <f>DATE(2025,7,9)+TIME(11,16,36)</f>
        <v>45847.469861111109</v>
      </c>
      <c r="D267" s="3" t="s">
        <v>117</v>
      </c>
      <c r="E267" s="3" t="s">
        <v>347</v>
      </c>
      <c r="F267" s="3" t="s">
        <v>4</v>
      </c>
    </row>
    <row r="268" spans="1:6" ht="31.2" x14ac:dyDescent="0.3">
      <c r="A268" s="6" t="s">
        <v>544</v>
      </c>
      <c r="B268" s="6" t="s">
        <v>545</v>
      </c>
      <c r="C268" s="2">
        <f>DATE(2025,7,9)+TIME(11,14,4)</f>
        <v>45847.468101851853</v>
      </c>
      <c r="D268" s="1" t="s">
        <v>90</v>
      </c>
      <c r="E268" s="1" t="s">
        <v>91</v>
      </c>
      <c r="F268" s="1" t="s">
        <v>24</v>
      </c>
    </row>
    <row r="269" spans="1:6" ht="15.6" x14ac:dyDescent="0.3">
      <c r="A269" s="6" t="s">
        <v>546</v>
      </c>
      <c r="B269" s="6" t="s">
        <v>547</v>
      </c>
      <c r="C269" s="4">
        <f>DATE(2025,7,9)+TIME(10,27,41)</f>
        <v>45847.435891203706</v>
      </c>
      <c r="D269" s="3" t="s">
        <v>72</v>
      </c>
      <c r="E269" s="3" t="s">
        <v>409</v>
      </c>
      <c r="F269" s="3" t="s">
        <v>159</v>
      </c>
    </row>
    <row r="270" spans="1:6" ht="15.6" x14ac:dyDescent="0.3">
      <c r="A270" s="6" t="s">
        <v>548</v>
      </c>
      <c r="B270" s="6" t="s">
        <v>549</v>
      </c>
      <c r="C270" s="2">
        <f>DATE(2025,7,9)+TIME(10,24,10)</f>
        <v>45847.433449074073</v>
      </c>
      <c r="D270" s="1" t="s">
        <v>72</v>
      </c>
      <c r="E270" s="1" t="s">
        <v>409</v>
      </c>
      <c r="F270" s="1" t="s">
        <v>84</v>
      </c>
    </row>
    <row r="271" spans="1:6" ht="15.6" x14ac:dyDescent="0.3">
      <c r="A271" s="6" t="s">
        <v>550</v>
      </c>
      <c r="B271" s="6" t="s">
        <v>551</v>
      </c>
      <c r="C271" s="4">
        <f>DATE(2025,7,9)+TIME(10,6,45)</f>
        <v>45847.421354166669</v>
      </c>
      <c r="D271" s="3" t="s">
        <v>72</v>
      </c>
      <c r="E271" s="3" t="s">
        <v>409</v>
      </c>
      <c r="F271" s="3" t="s">
        <v>66</v>
      </c>
    </row>
    <row r="272" spans="1:6" ht="15.6" x14ac:dyDescent="0.3">
      <c r="A272" s="6" t="s">
        <v>108</v>
      </c>
      <c r="B272" s="6" t="s">
        <v>552</v>
      </c>
      <c r="C272" s="2">
        <f>DATE(2025,7,9)+TIME(9,58,56)</f>
        <v>45847.415925925925</v>
      </c>
      <c r="D272" s="1" t="s">
        <v>72</v>
      </c>
      <c r="E272" s="1" t="s">
        <v>409</v>
      </c>
      <c r="F272" s="1" t="s">
        <v>4</v>
      </c>
    </row>
    <row r="273" spans="1:6" ht="15.6" x14ac:dyDescent="0.3">
      <c r="A273" s="6" t="s">
        <v>444</v>
      </c>
      <c r="B273" s="6" t="s">
        <v>553</v>
      </c>
      <c r="C273" s="4">
        <f>DATE(2025,7,9)+TIME(9,55,12)</f>
        <v>45847.41333333333</v>
      </c>
      <c r="D273" s="3" t="s">
        <v>72</v>
      </c>
      <c r="E273" s="3" t="s">
        <v>409</v>
      </c>
      <c r="F273" s="3" t="s">
        <v>4</v>
      </c>
    </row>
    <row r="274" spans="1:6" ht="15.6" x14ac:dyDescent="0.3">
      <c r="A274" s="6" t="s">
        <v>554</v>
      </c>
      <c r="B274" s="6" t="s">
        <v>555</v>
      </c>
      <c r="C274" s="2">
        <f>DATE(2025,7,9)+TIME(9,54,15)</f>
        <v>45847.412673611114</v>
      </c>
      <c r="D274" s="1" t="s">
        <v>72</v>
      </c>
      <c r="E274" s="1" t="s">
        <v>73</v>
      </c>
      <c r="F274" s="1" t="s">
        <v>19</v>
      </c>
    </row>
    <row r="275" spans="1:6" ht="15.6" x14ac:dyDescent="0.3">
      <c r="A275" s="6" t="s">
        <v>556</v>
      </c>
      <c r="B275" s="6" t="s">
        <v>557</v>
      </c>
      <c r="C275" s="4">
        <f>DATE(2025,7,9)+TIME(9,36,59)</f>
        <v>45847.400682870371</v>
      </c>
      <c r="D275" s="3" t="s">
        <v>117</v>
      </c>
      <c r="E275" s="3" t="s">
        <v>347</v>
      </c>
      <c r="F275" s="3" t="s">
        <v>4</v>
      </c>
    </row>
    <row r="276" spans="1:6" ht="15.6" x14ac:dyDescent="0.3">
      <c r="A276" s="6" t="s">
        <v>558</v>
      </c>
      <c r="B276" s="6" t="s">
        <v>559</v>
      </c>
      <c r="C276" s="2">
        <f>DATE(2025,7,9)+TIME(9,26,34)</f>
        <v>45847.393449074072</v>
      </c>
      <c r="D276" s="1" t="s">
        <v>22</v>
      </c>
      <c r="E276" s="1" t="s">
        <v>135</v>
      </c>
      <c r="F276" s="1" t="s">
        <v>172</v>
      </c>
    </row>
    <row r="277" spans="1:6" ht="15.6" x14ac:dyDescent="0.3">
      <c r="A277" s="6" t="s">
        <v>241</v>
      </c>
      <c r="B277" s="6" t="s">
        <v>560</v>
      </c>
      <c r="C277" s="4">
        <f>DATE(2025,7,9)+TIME(9,14,31)</f>
        <v>45847.385081018518</v>
      </c>
      <c r="D277" s="3" t="s">
        <v>72</v>
      </c>
      <c r="E277" s="3" t="s">
        <v>409</v>
      </c>
      <c r="F277" s="3" t="s">
        <v>172</v>
      </c>
    </row>
    <row r="278" spans="1:6" ht="15.6" x14ac:dyDescent="0.3">
      <c r="A278" s="6" t="s">
        <v>74</v>
      </c>
      <c r="B278" s="6" t="s">
        <v>561</v>
      </c>
      <c r="C278" s="2">
        <f>DATE(2025,7,9)+TIME(9,8,12)</f>
        <v>45847.380694444444</v>
      </c>
      <c r="D278" s="1" t="s">
        <v>72</v>
      </c>
      <c r="E278" s="1" t="s">
        <v>409</v>
      </c>
      <c r="F278" s="1" t="s">
        <v>19</v>
      </c>
    </row>
    <row r="279" spans="1:6" ht="15.6" x14ac:dyDescent="0.3">
      <c r="A279" s="6" t="s">
        <v>562</v>
      </c>
      <c r="B279" s="6" t="s">
        <v>563</v>
      </c>
      <c r="C279" s="4">
        <f>DATE(2025,7,9)+TIME(9,2,25)</f>
        <v>45847.37667824074</v>
      </c>
      <c r="D279" s="3" t="s">
        <v>22</v>
      </c>
      <c r="E279" s="3" t="s">
        <v>23</v>
      </c>
      <c r="F279" s="3" t="s">
        <v>159</v>
      </c>
    </row>
    <row r="280" spans="1:6" ht="15.6" x14ac:dyDescent="0.3">
      <c r="A280" s="6" t="s">
        <v>564</v>
      </c>
      <c r="B280" s="6" t="s">
        <v>565</v>
      </c>
      <c r="C280" s="2">
        <f>DATE(2025,7,9)+TIME(8,53,11)</f>
        <v>45847.370266203703</v>
      </c>
      <c r="D280" s="1" t="s">
        <v>72</v>
      </c>
      <c r="E280" s="1" t="s">
        <v>409</v>
      </c>
      <c r="F280" s="1" t="s">
        <v>4</v>
      </c>
    </row>
    <row r="281" spans="1:6" ht="15.6" x14ac:dyDescent="0.3">
      <c r="A281" s="6" t="s">
        <v>234</v>
      </c>
      <c r="B281" s="6" t="s">
        <v>566</v>
      </c>
      <c r="C281" s="4">
        <f>DATE(2025,7,9)+TIME(8,51,14)</f>
        <v>45847.36891203704</v>
      </c>
      <c r="D281" s="3" t="s">
        <v>72</v>
      </c>
      <c r="E281" s="3" t="s">
        <v>409</v>
      </c>
      <c r="F281" s="3" t="s">
        <v>4</v>
      </c>
    </row>
    <row r="282" spans="1:6" ht="15.6" x14ac:dyDescent="0.3">
      <c r="A282" s="6" t="s">
        <v>550</v>
      </c>
      <c r="B282" s="6" t="s">
        <v>567</v>
      </c>
      <c r="C282" s="2">
        <f>DATE(2025,7,9)+TIME(8,49,36)</f>
        <v>45847.367777777778</v>
      </c>
      <c r="D282" s="1" t="s">
        <v>72</v>
      </c>
      <c r="E282" s="1" t="s">
        <v>409</v>
      </c>
      <c r="F282" s="1" t="s">
        <v>4</v>
      </c>
    </row>
    <row r="283" spans="1:6" ht="15.6" x14ac:dyDescent="0.3">
      <c r="A283" s="6" t="s">
        <v>568</v>
      </c>
      <c r="B283" s="6" t="s">
        <v>569</v>
      </c>
      <c r="C283" s="4">
        <f>DATE(2025,7,9)+TIME(8,41,10)</f>
        <v>45847.361921296295</v>
      </c>
      <c r="D283" s="3" t="s">
        <v>72</v>
      </c>
      <c r="E283" s="3" t="s">
        <v>409</v>
      </c>
      <c r="F283" s="3" t="s">
        <v>154</v>
      </c>
    </row>
    <row r="284" spans="1:6" ht="15.6" x14ac:dyDescent="0.3">
      <c r="A284" s="6" t="s">
        <v>570</v>
      </c>
      <c r="B284" s="6" t="s">
        <v>571</v>
      </c>
      <c r="C284" s="2">
        <f>DATE(2025,7,9)+TIME(8,20,0)</f>
        <v>45847.347222222219</v>
      </c>
      <c r="D284" s="1" t="s">
        <v>72</v>
      </c>
      <c r="E284" s="1" t="s">
        <v>572</v>
      </c>
      <c r="F284" s="1" t="s">
        <v>19</v>
      </c>
    </row>
    <row r="285" spans="1:6" ht="15.6" x14ac:dyDescent="0.3">
      <c r="A285" s="6" t="s">
        <v>573</v>
      </c>
      <c r="B285" s="6" t="s">
        <v>574</v>
      </c>
      <c r="C285" s="4">
        <f>DATE(2025,7,9)+TIME(6,57,36)</f>
        <v>45847.29</v>
      </c>
      <c r="D285" s="3" t="s">
        <v>117</v>
      </c>
      <c r="E285" s="3" t="s">
        <v>347</v>
      </c>
      <c r="F285" s="3" t="s">
        <v>159</v>
      </c>
    </row>
    <row r="286" spans="1:6" ht="15.6" x14ac:dyDescent="0.3">
      <c r="A286" s="6" t="s">
        <v>575</v>
      </c>
      <c r="B286" s="6" t="s">
        <v>215</v>
      </c>
      <c r="C286" s="2">
        <f>DATE(2025,7,9)+TIME(6,50,51)</f>
        <v>45847.285312499997</v>
      </c>
      <c r="D286" s="1" t="s">
        <v>117</v>
      </c>
      <c r="E286" s="1" t="s">
        <v>347</v>
      </c>
      <c r="F286" s="1" t="s">
        <v>84</v>
      </c>
    </row>
    <row r="287" spans="1:6" ht="15.6" x14ac:dyDescent="0.3">
      <c r="A287" s="6" t="s">
        <v>93</v>
      </c>
      <c r="B287" s="6" t="s">
        <v>576</v>
      </c>
      <c r="C287" s="4">
        <f>DATE(2025,7,9)+TIME(6,5,39)</f>
        <v>45847.253923611112</v>
      </c>
      <c r="D287" s="3" t="s">
        <v>117</v>
      </c>
      <c r="E287" s="3" t="s">
        <v>347</v>
      </c>
      <c r="F287" s="3" t="s">
        <v>154</v>
      </c>
    </row>
    <row r="288" spans="1:6" ht="15.6" x14ac:dyDescent="0.3">
      <c r="A288" s="6" t="s">
        <v>556</v>
      </c>
      <c r="B288" s="6" t="s">
        <v>577</v>
      </c>
      <c r="C288" s="2">
        <f>DATE(2025,7,8)+TIME(19,53,27)</f>
        <v>45846.828784722224</v>
      </c>
      <c r="D288" s="1" t="s">
        <v>87</v>
      </c>
      <c r="E288" s="1" t="s">
        <v>578</v>
      </c>
      <c r="F288" s="1" t="s">
        <v>4</v>
      </c>
    </row>
    <row r="289" spans="1:6" ht="15.6" x14ac:dyDescent="0.3">
      <c r="A289" s="6" t="s">
        <v>579</v>
      </c>
      <c r="B289" s="6" t="s">
        <v>580</v>
      </c>
      <c r="C289" s="4">
        <f>DATE(2025,7,8)+TIME(19,17,13)</f>
        <v>45846.803622685184</v>
      </c>
      <c r="D289" s="3" t="s">
        <v>48</v>
      </c>
      <c r="E289" s="3" t="s">
        <v>49</v>
      </c>
      <c r="F289" s="3" t="s">
        <v>4</v>
      </c>
    </row>
    <row r="290" spans="1:6" ht="15.6" x14ac:dyDescent="0.3">
      <c r="A290" s="6" t="s">
        <v>581</v>
      </c>
      <c r="B290" s="6" t="s">
        <v>582</v>
      </c>
      <c r="C290" s="2">
        <f>DATE(2025,7,8)+TIME(18,47,6)</f>
        <v>45846.782708333332</v>
      </c>
      <c r="D290" s="1" t="s">
        <v>48</v>
      </c>
      <c r="E290" s="1" t="s">
        <v>49</v>
      </c>
      <c r="F290" s="1" t="s">
        <v>172</v>
      </c>
    </row>
    <row r="291" spans="1:6" ht="15.6" x14ac:dyDescent="0.3">
      <c r="A291" s="6" t="s">
        <v>345</v>
      </c>
      <c r="B291" s="6" t="s">
        <v>583</v>
      </c>
      <c r="C291" s="4">
        <f>DATE(2025,7,8)+TIME(17,51,20)</f>
        <v>45846.743981481479</v>
      </c>
      <c r="D291" s="3" t="s">
        <v>48</v>
      </c>
      <c r="E291" s="3" t="s">
        <v>49</v>
      </c>
      <c r="F291" s="3" t="s">
        <v>19</v>
      </c>
    </row>
    <row r="292" spans="1:6" ht="15.6" x14ac:dyDescent="0.3">
      <c r="A292" s="6" t="s">
        <v>584</v>
      </c>
      <c r="B292" s="6" t="s">
        <v>233</v>
      </c>
      <c r="C292" s="2">
        <f>DATE(2025,7,8)+TIME(17,47,24)</f>
        <v>45846.741249999999</v>
      </c>
      <c r="D292" s="1" t="s">
        <v>300</v>
      </c>
      <c r="E292" s="1" t="s">
        <v>49</v>
      </c>
      <c r="F292" s="1" t="s">
        <v>24</v>
      </c>
    </row>
    <row r="293" spans="1:6" ht="15.6" x14ac:dyDescent="0.3">
      <c r="A293" s="6" t="s">
        <v>415</v>
      </c>
      <c r="B293" s="6" t="s">
        <v>585</v>
      </c>
      <c r="C293" s="4">
        <f>DATE(2025,7,8)+TIME(17,43,7)</f>
        <v>45846.738275462965</v>
      </c>
      <c r="D293" s="3" t="s">
        <v>48</v>
      </c>
      <c r="E293" s="3" t="s">
        <v>49</v>
      </c>
      <c r="F293" s="3" t="s">
        <v>4</v>
      </c>
    </row>
    <row r="294" spans="1:6" ht="15.6" x14ac:dyDescent="0.3">
      <c r="A294" s="6" t="s">
        <v>243</v>
      </c>
      <c r="B294" s="6" t="s">
        <v>586</v>
      </c>
      <c r="C294" s="2">
        <f>DATE(2025,7,8)+TIME(17,30,4)</f>
        <v>45846.729212962964</v>
      </c>
      <c r="D294" s="1" t="s">
        <v>22</v>
      </c>
      <c r="E294" s="1" t="s">
        <v>23</v>
      </c>
      <c r="F294" s="1" t="s">
        <v>154</v>
      </c>
    </row>
    <row r="295" spans="1:6" ht="15.6" x14ac:dyDescent="0.3">
      <c r="A295" s="6" t="s">
        <v>463</v>
      </c>
      <c r="B295" s="6" t="s">
        <v>448</v>
      </c>
      <c r="C295" s="4">
        <f>DATE(2025,7,8)+TIME(16,13,48)</f>
        <v>45846.676249999997</v>
      </c>
      <c r="D295" s="3" t="s">
        <v>87</v>
      </c>
      <c r="E295" s="3" t="s">
        <v>578</v>
      </c>
      <c r="F295" s="3" t="s">
        <v>66</v>
      </c>
    </row>
    <row r="296" spans="1:6" ht="15.6" x14ac:dyDescent="0.3">
      <c r="A296" s="6" t="s">
        <v>32</v>
      </c>
      <c r="B296" s="6" t="s">
        <v>587</v>
      </c>
      <c r="C296" s="2">
        <f>DATE(2025,7,8)+TIME(15,58,18)</f>
        <v>45846.665486111109</v>
      </c>
      <c r="D296" s="1" t="s">
        <v>60</v>
      </c>
      <c r="E296" s="1" t="s">
        <v>336</v>
      </c>
      <c r="F296" s="1" t="s">
        <v>172</v>
      </c>
    </row>
    <row r="297" spans="1:6" ht="15.6" x14ac:dyDescent="0.3">
      <c r="A297" s="6" t="s">
        <v>588</v>
      </c>
      <c r="B297" s="6" t="s">
        <v>589</v>
      </c>
      <c r="C297" s="4">
        <f>DATE(2025,7,8)+TIME(15,40,49)</f>
        <v>45846.653344907405</v>
      </c>
      <c r="D297" s="3" t="s">
        <v>72</v>
      </c>
      <c r="E297" s="3" t="s">
        <v>73</v>
      </c>
      <c r="F297" s="3" t="s">
        <v>172</v>
      </c>
    </row>
    <row r="298" spans="1:6" ht="31.2" x14ac:dyDescent="0.3">
      <c r="A298" s="6" t="s">
        <v>590</v>
      </c>
      <c r="B298" s="6" t="s">
        <v>591</v>
      </c>
      <c r="C298" s="2">
        <f>DATE(2025,7,8)+TIME(15,32,43)</f>
        <v>45846.647719907407</v>
      </c>
      <c r="D298" s="1" t="s">
        <v>2</v>
      </c>
      <c r="E298" s="1" t="s">
        <v>592</v>
      </c>
      <c r="F298" s="1" t="s">
        <v>19</v>
      </c>
    </row>
    <row r="299" spans="1:6" ht="15.6" x14ac:dyDescent="0.3">
      <c r="A299" s="6" t="s">
        <v>593</v>
      </c>
      <c r="B299" s="6" t="s">
        <v>594</v>
      </c>
      <c r="C299" s="4">
        <f>DATE(2025,7,8)+TIME(15,8,17)</f>
        <v>45846.630752314813</v>
      </c>
      <c r="D299" s="3" t="s">
        <v>7</v>
      </c>
      <c r="E299" s="3" t="s">
        <v>144</v>
      </c>
      <c r="F299" s="3" t="s">
        <v>154</v>
      </c>
    </row>
    <row r="300" spans="1:6" ht="15.6" x14ac:dyDescent="0.3">
      <c r="A300" s="6" t="s">
        <v>595</v>
      </c>
      <c r="B300" s="6" t="s">
        <v>596</v>
      </c>
      <c r="C300" s="2">
        <f>DATE(2025,7,8)+TIME(14,8,14)</f>
        <v>45846.589050925926</v>
      </c>
      <c r="D300" s="1" t="s">
        <v>48</v>
      </c>
      <c r="E300" s="1" t="s">
        <v>127</v>
      </c>
      <c r="F300" s="1" t="s">
        <v>19</v>
      </c>
    </row>
    <row r="301" spans="1:6" ht="15.6" x14ac:dyDescent="0.3">
      <c r="A301" s="6" t="s">
        <v>597</v>
      </c>
      <c r="B301" s="6" t="s">
        <v>598</v>
      </c>
      <c r="C301" s="4">
        <f>DATE(2025,7,8)+TIME(12,56,13)</f>
        <v>45846.539039351854</v>
      </c>
      <c r="D301" s="3" t="s">
        <v>117</v>
      </c>
      <c r="E301" s="3" t="s">
        <v>149</v>
      </c>
      <c r="F301" s="3" t="s">
        <v>4</v>
      </c>
    </row>
    <row r="302" spans="1:6" ht="15.6" x14ac:dyDescent="0.3">
      <c r="A302" s="6" t="s">
        <v>599</v>
      </c>
      <c r="B302" s="6" t="s">
        <v>600</v>
      </c>
      <c r="C302" s="2">
        <f>DATE(2025,7,8)+TIME(9,58,48)</f>
        <v>45846.415833333333</v>
      </c>
      <c r="D302" s="1" t="s">
        <v>117</v>
      </c>
      <c r="E302" s="1" t="s">
        <v>149</v>
      </c>
      <c r="F302" s="1" t="s">
        <v>130</v>
      </c>
    </row>
    <row r="303" spans="1:6" ht="15.6" x14ac:dyDescent="0.3">
      <c r="A303" s="6" t="s">
        <v>601</v>
      </c>
      <c r="B303" s="6" t="s">
        <v>602</v>
      </c>
      <c r="C303" s="4">
        <f>DATE(2025,7,8)+TIME(6,37,5)</f>
        <v>45846.275752314818</v>
      </c>
      <c r="D303" s="3" t="s">
        <v>2</v>
      </c>
      <c r="E303" s="3" t="s">
        <v>198</v>
      </c>
      <c r="F303" s="3" t="s">
        <v>66</v>
      </c>
    </row>
    <row r="304" spans="1:6" ht="15.6" x14ac:dyDescent="0.3">
      <c r="A304" s="6" t="s">
        <v>28</v>
      </c>
      <c r="B304" s="6" t="s">
        <v>600</v>
      </c>
      <c r="C304" s="2">
        <f>DATE(2025,7,8)+TIME(6,17,18)</f>
        <v>45846.262013888889</v>
      </c>
      <c r="D304" s="1" t="s">
        <v>117</v>
      </c>
      <c r="E304" s="1" t="s">
        <v>149</v>
      </c>
      <c r="F304" s="1" t="s">
        <v>4</v>
      </c>
    </row>
    <row r="305" spans="1:6" ht="15.6" x14ac:dyDescent="0.3">
      <c r="A305" s="6" t="s">
        <v>603</v>
      </c>
      <c r="B305" s="6" t="s">
        <v>604</v>
      </c>
      <c r="C305" s="4">
        <f>DATE(2025,7,7)+TIME(17,22,39)</f>
        <v>45845.724062499998</v>
      </c>
      <c r="D305" s="3" t="s">
        <v>48</v>
      </c>
      <c r="E305" s="3" t="s">
        <v>49</v>
      </c>
      <c r="F305" s="3" t="s">
        <v>154</v>
      </c>
    </row>
    <row r="306" spans="1:6" ht="31.2" x14ac:dyDescent="0.3">
      <c r="A306" s="6" t="s">
        <v>605</v>
      </c>
      <c r="B306" s="6" t="s">
        <v>606</v>
      </c>
      <c r="C306" s="2">
        <f>DATE(2025,7,7)+TIME(15,55,31)</f>
        <v>45845.663553240738</v>
      </c>
      <c r="D306" s="1" t="s">
        <v>17</v>
      </c>
      <c r="E306" s="1" t="s">
        <v>607</v>
      </c>
      <c r="F306" s="1" t="s">
        <v>4</v>
      </c>
    </row>
    <row r="307" spans="1:6" ht="15.6" x14ac:dyDescent="0.3">
      <c r="A307" s="6" t="s">
        <v>608</v>
      </c>
      <c r="B307" s="6" t="s">
        <v>609</v>
      </c>
      <c r="C307" s="4">
        <f>DATE(2025,7,7)+TIME(13,48,21)</f>
        <v>45845.575243055559</v>
      </c>
      <c r="D307" s="3" t="s">
        <v>11</v>
      </c>
      <c r="E307" s="3" t="s">
        <v>467</v>
      </c>
      <c r="F307" s="3" t="s">
        <v>159</v>
      </c>
    </row>
    <row r="308" spans="1:6" ht="15.6" x14ac:dyDescent="0.3">
      <c r="A308" s="6" t="s">
        <v>610</v>
      </c>
      <c r="B308" s="6" t="s">
        <v>611</v>
      </c>
      <c r="C308" s="2">
        <f>DATE(2025,7,7)+TIME(13,29,34)</f>
        <v>45845.562199074076</v>
      </c>
      <c r="D308" s="1" t="s">
        <v>11</v>
      </c>
      <c r="E308" s="1" t="s">
        <v>467</v>
      </c>
      <c r="F308" s="1" t="s">
        <v>19</v>
      </c>
    </row>
    <row r="309" spans="1:6" ht="15.6" x14ac:dyDescent="0.3">
      <c r="A309" s="6" t="s">
        <v>612</v>
      </c>
      <c r="B309" s="6" t="s">
        <v>613</v>
      </c>
      <c r="C309" s="4">
        <f>DATE(2025,7,7)+TIME(13,23,36)</f>
        <v>45845.558055555557</v>
      </c>
      <c r="D309" s="3" t="s">
        <v>11</v>
      </c>
      <c r="E309" s="3" t="s">
        <v>467</v>
      </c>
      <c r="F309" s="3" t="s">
        <v>4</v>
      </c>
    </row>
    <row r="310" spans="1:6" ht="15.6" x14ac:dyDescent="0.3">
      <c r="A310" s="6" t="s">
        <v>614</v>
      </c>
      <c r="B310" s="6" t="s">
        <v>615</v>
      </c>
      <c r="C310" s="2">
        <f>DATE(2025,7,7)+TIME(11,35,49)</f>
        <v>45845.483206018522</v>
      </c>
      <c r="D310" s="1" t="s">
        <v>11</v>
      </c>
      <c r="E310" s="1" t="s">
        <v>467</v>
      </c>
      <c r="F310" s="1" t="s">
        <v>4</v>
      </c>
    </row>
    <row r="311" spans="1:6" ht="15.6" x14ac:dyDescent="0.3">
      <c r="A311" s="6" t="s">
        <v>500</v>
      </c>
      <c r="B311" s="6" t="s">
        <v>616</v>
      </c>
      <c r="C311" s="4">
        <f>DATE(2025,7,7)+TIME(11,34,57)</f>
        <v>45845.482604166667</v>
      </c>
      <c r="D311" s="3" t="s">
        <v>11</v>
      </c>
      <c r="E311" s="3" t="s">
        <v>467</v>
      </c>
      <c r="F311" s="3" t="s">
        <v>4</v>
      </c>
    </row>
    <row r="312" spans="1:6" ht="15.6" x14ac:dyDescent="0.3">
      <c r="A312" s="6" t="s">
        <v>485</v>
      </c>
      <c r="B312" s="6" t="s">
        <v>617</v>
      </c>
      <c r="C312" s="2">
        <f>DATE(2025,7,7)+TIME(11,33,11)</f>
        <v>45845.481377314813</v>
      </c>
      <c r="D312" s="1" t="s">
        <v>11</v>
      </c>
      <c r="E312" s="1" t="s">
        <v>467</v>
      </c>
      <c r="F312" s="1" t="s">
        <v>24</v>
      </c>
    </row>
    <row r="313" spans="1:6" ht="15.6" x14ac:dyDescent="0.3">
      <c r="A313" s="6" t="s">
        <v>67</v>
      </c>
      <c r="B313" s="6" t="s">
        <v>618</v>
      </c>
      <c r="C313" s="4">
        <f>DATE(2025,7,7)+TIME(11,23,58)</f>
        <v>45845.474976851852</v>
      </c>
      <c r="D313" s="3" t="s">
        <v>11</v>
      </c>
      <c r="E313" s="3" t="s">
        <v>467</v>
      </c>
      <c r="F313" s="3" t="s">
        <v>4</v>
      </c>
    </row>
    <row r="314" spans="1:6" ht="15.6" x14ac:dyDescent="0.3">
      <c r="A314" s="6" t="s">
        <v>619</v>
      </c>
      <c r="B314" s="6" t="s">
        <v>620</v>
      </c>
      <c r="C314" s="2">
        <f>DATE(2025,7,7)+TIME(11,3,18)</f>
        <v>45845.460625</v>
      </c>
      <c r="D314" s="1" t="s">
        <v>11</v>
      </c>
      <c r="E314" s="1" t="s">
        <v>467</v>
      </c>
      <c r="F314" s="1" t="s">
        <v>172</v>
      </c>
    </row>
    <row r="315" spans="1:6" ht="15.6" x14ac:dyDescent="0.3">
      <c r="A315" s="6" t="s">
        <v>621</v>
      </c>
      <c r="B315" s="6" t="s">
        <v>622</v>
      </c>
      <c r="C315" s="4">
        <f>DATE(2025,7,7)+TIME(11,2,41)</f>
        <v>45845.460196759261</v>
      </c>
      <c r="D315" s="3" t="s">
        <v>11</v>
      </c>
      <c r="E315" s="3" t="s">
        <v>467</v>
      </c>
      <c r="F315" s="3" t="s">
        <v>4</v>
      </c>
    </row>
    <row r="316" spans="1:6" ht="15.6" x14ac:dyDescent="0.3">
      <c r="A316" s="6" t="s">
        <v>623</v>
      </c>
      <c r="B316" s="6" t="s">
        <v>624</v>
      </c>
      <c r="C316" s="2">
        <f>DATE(2025,7,7)+TIME(11,1,19)</f>
        <v>45845.459247685183</v>
      </c>
      <c r="D316" s="1" t="s">
        <v>11</v>
      </c>
      <c r="E316" s="1" t="s">
        <v>467</v>
      </c>
      <c r="F316" s="1" t="s">
        <v>66</v>
      </c>
    </row>
    <row r="317" spans="1:6" ht="15.6" x14ac:dyDescent="0.3">
      <c r="A317" s="6" t="s">
        <v>625</v>
      </c>
      <c r="B317" s="6" t="s">
        <v>626</v>
      </c>
      <c r="C317" s="4">
        <f>DATE(2025,7,7)+TIME(11,1,3)</f>
        <v>45845.459062499998</v>
      </c>
      <c r="D317" s="3" t="s">
        <v>11</v>
      </c>
      <c r="E317" s="3" t="s">
        <v>467</v>
      </c>
      <c r="F317" s="3" t="s">
        <v>4</v>
      </c>
    </row>
    <row r="318" spans="1:6" ht="15.6" x14ac:dyDescent="0.3">
      <c r="A318" s="6" t="s">
        <v>62</v>
      </c>
      <c r="B318" s="6" t="s">
        <v>627</v>
      </c>
      <c r="C318" s="2">
        <f>DATE(2025,7,7)+TIME(10,54,48)</f>
        <v>45845.454722222225</v>
      </c>
      <c r="D318" s="1" t="s">
        <v>11</v>
      </c>
      <c r="E318" s="1" t="s">
        <v>467</v>
      </c>
      <c r="F318" s="1" t="s">
        <v>154</v>
      </c>
    </row>
    <row r="319" spans="1:6" ht="15.6" x14ac:dyDescent="0.3">
      <c r="A319" s="6" t="s">
        <v>628</v>
      </c>
      <c r="B319" s="6" t="s">
        <v>629</v>
      </c>
      <c r="C319" s="4">
        <f>DATE(2025,7,7)+TIME(10,2,30)</f>
        <v>45845.418402777781</v>
      </c>
      <c r="D319" s="3" t="s">
        <v>60</v>
      </c>
      <c r="E319" s="3" t="s">
        <v>83</v>
      </c>
      <c r="F319" s="3" t="s">
        <v>172</v>
      </c>
    </row>
    <row r="320" spans="1:6" ht="31.2" x14ac:dyDescent="0.3">
      <c r="A320" s="6" t="s">
        <v>128</v>
      </c>
      <c r="B320" s="6" t="s">
        <v>630</v>
      </c>
      <c r="C320" s="2">
        <f>DATE(2025,7,7)+TIME(9,45,46)</f>
        <v>45845.406782407408</v>
      </c>
      <c r="D320" s="1" t="s">
        <v>90</v>
      </c>
      <c r="E320" s="1" t="s">
        <v>91</v>
      </c>
      <c r="F320" s="1" t="s">
        <v>4</v>
      </c>
    </row>
    <row r="321" spans="1:6" ht="31.2" x14ac:dyDescent="0.3">
      <c r="A321" s="6" t="s">
        <v>631</v>
      </c>
      <c r="B321" s="6" t="s">
        <v>632</v>
      </c>
      <c r="C321" s="4">
        <f>DATE(2025,7,7)+TIME(8,40,30)</f>
        <v>45845.361458333333</v>
      </c>
      <c r="D321" s="3" t="s">
        <v>90</v>
      </c>
      <c r="E321" s="3" t="s">
        <v>91</v>
      </c>
      <c r="F321" s="3" t="s">
        <v>4</v>
      </c>
    </row>
    <row r="322" spans="1:6" ht="31.2" x14ac:dyDescent="0.3">
      <c r="A322" s="6" t="s">
        <v>633</v>
      </c>
      <c r="B322" s="6" t="s">
        <v>634</v>
      </c>
      <c r="C322" s="2">
        <f>DATE(2025,7,7)+TIME(7,44,41)</f>
        <v>45845.322696759256</v>
      </c>
      <c r="D322" s="1" t="s">
        <v>90</v>
      </c>
      <c r="E322" s="1" t="s">
        <v>91</v>
      </c>
      <c r="F322" s="1" t="s">
        <v>19</v>
      </c>
    </row>
    <row r="323" spans="1:6" ht="31.2" x14ac:dyDescent="0.3">
      <c r="A323" s="6" t="s">
        <v>275</v>
      </c>
      <c r="B323" s="6" t="s">
        <v>635</v>
      </c>
      <c r="C323" s="4">
        <f>DATE(2025,7,6)+TIME(8,24,50)</f>
        <v>45844.350578703707</v>
      </c>
      <c r="D323" s="3" t="s">
        <v>17</v>
      </c>
      <c r="E323" s="3" t="s">
        <v>636</v>
      </c>
      <c r="F323" s="3" t="s">
        <v>199</v>
      </c>
    </row>
    <row r="324" spans="1:6" ht="15.6" x14ac:dyDescent="0.3">
      <c r="A324" s="6" t="s">
        <v>637</v>
      </c>
      <c r="B324" s="6" t="s">
        <v>638</v>
      </c>
      <c r="C324" s="2">
        <f>DATE(2025,7,5)+TIME(15,59,43)</f>
        <v>45843.66646990741</v>
      </c>
      <c r="D324" s="1" t="s">
        <v>60</v>
      </c>
      <c r="E324" s="1" t="s">
        <v>366</v>
      </c>
      <c r="F324" s="1" t="s">
        <v>19</v>
      </c>
    </row>
    <row r="325" spans="1:6" ht="15.6" x14ac:dyDescent="0.3">
      <c r="A325" s="6" t="s">
        <v>639</v>
      </c>
      <c r="B325" s="6" t="s">
        <v>640</v>
      </c>
      <c r="C325" s="4">
        <f>DATE(2025,7,4)+TIME(18,54,35)</f>
        <v>45842.787905092591</v>
      </c>
      <c r="D325" s="3" t="s">
        <v>22</v>
      </c>
      <c r="E325" s="3" t="s">
        <v>641</v>
      </c>
      <c r="F325" s="3" t="s">
        <v>24</v>
      </c>
    </row>
    <row r="326" spans="1:6" ht="31.2" x14ac:dyDescent="0.3">
      <c r="A326" s="6" t="s">
        <v>642</v>
      </c>
      <c r="B326" s="6" t="s">
        <v>643</v>
      </c>
      <c r="C326" s="2">
        <f>DATE(2025,7,3)+TIME(13,27,23)</f>
        <v>45841.560682870368</v>
      </c>
      <c r="D326" s="1" t="s">
        <v>90</v>
      </c>
      <c r="E326" s="1" t="s">
        <v>91</v>
      </c>
      <c r="F326" s="1" t="s">
        <v>76</v>
      </c>
    </row>
    <row r="327" spans="1:6" ht="31.2" x14ac:dyDescent="0.3">
      <c r="A327" s="6" t="s">
        <v>0</v>
      </c>
      <c r="B327" s="6" t="s">
        <v>644</v>
      </c>
      <c r="C327" s="4">
        <f>DATE(2025,7,3)+TIME(12,53,22)</f>
        <v>45841.537060185183</v>
      </c>
      <c r="D327" s="3" t="s">
        <v>90</v>
      </c>
      <c r="E327" s="3" t="s">
        <v>91</v>
      </c>
      <c r="F327" s="3" t="s">
        <v>4</v>
      </c>
    </row>
    <row r="328" spans="1:6" ht="31.2" x14ac:dyDescent="0.3">
      <c r="A328" s="6" t="s">
        <v>550</v>
      </c>
      <c r="B328" s="6" t="s">
        <v>645</v>
      </c>
      <c r="C328" s="2">
        <f>DATE(2025,7,3)+TIME(12,52,26)</f>
        <v>45841.536412037036</v>
      </c>
      <c r="D328" s="1" t="s">
        <v>90</v>
      </c>
      <c r="E328" s="1" t="s">
        <v>91</v>
      </c>
      <c r="F328" s="1" t="s">
        <v>183</v>
      </c>
    </row>
    <row r="329" spans="1:6" ht="31.2" x14ac:dyDescent="0.3">
      <c r="A329" s="6" t="s">
        <v>646</v>
      </c>
      <c r="B329" s="6" t="s">
        <v>647</v>
      </c>
      <c r="C329" s="4">
        <f>DATE(2025,7,3)+TIME(12,38,0)</f>
        <v>45841.526388888888</v>
      </c>
      <c r="D329" s="3" t="s">
        <v>90</v>
      </c>
      <c r="E329" s="3" t="s">
        <v>91</v>
      </c>
      <c r="F329" s="3" t="s">
        <v>648</v>
      </c>
    </row>
    <row r="330" spans="1:6" ht="31.2" x14ac:dyDescent="0.3">
      <c r="A330" s="6" t="s">
        <v>649</v>
      </c>
      <c r="B330" s="6" t="s">
        <v>650</v>
      </c>
      <c r="C330" s="2">
        <f>DATE(2025,7,3)+TIME(12,26,45)</f>
        <v>45841.518576388888</v>
      </c>
      <c r="D330" s="1" t="s">
        <v>90</v>
      </c>
      <c r="E330" s="1" t="s">
        <v>91</v>
      </c>
      <c r="F330" s="1" t="s">
        <v>154</v>
      </c>
    </row>
    <row r="331" spans="1:6" ht="15.6" x14ac:dyDescent="0.3">
      <c r="A331" s="6" t="s">
        <v>651</v>
      </c>
      <c r="B331" s="6" t="s">
        <v>362</v>
      </c>
      <c r="C331" s="4">
        <f>DATE(2025,7,1)+TIME(16,16,43)</f>
        <v>45839.67827546296</v>
      </c>
      <c r="D331" s="3" t="s">
        <v>22</v>
      </c>
      <c r="E331" s="3" t="s">
        <v>23</v>
      </c>
      <c r="F331" s="3" t="s">
        <v>19</v>
      </c>
    </row>
    <row r="332" spans="1:6" ht="15.6" x14ac:dyDescent="0.3">
      <c r="A332" s="6" t="s">
        <v>652</v>
      </c>
      <c r="B332" s="6" t="s">
        <v>653</v>
      </c>
      <c r="C332" s="2">
        <f>DATE(2025,7,1)+TIME(15,40,48)</f>
        <v>45839.653333333335</v>
      </c>
      <c r="D332" s="1" t="s">
        <v>22</v>
      </c>
      <c r="E332" s="1" t="s">
        <v>641</v>
      </c>
      <c r="F332" s="1" t="s">
        <v>4</v>
      </c>
    </row>
    <row r="333" spans="1:6" ht="15.6" x14ac:dyDescent="0.3">
      <c r="A333" s="6" t="s">
        <v>654</v>
      </c>
      <c r="B333" s="6" t="s">
        <v>574</v>
      </c>
      <c r="C333" s="4">
        <f>DATE(2025,7,1)+TIME(15,32,40)</f>
        <v>45839.647685185184</v>
      </c>
      <c r="D333" s="3" t="s">
        <v>60</v>
      </c>
      <c r="E333" s="3" t="s">
        <v>336</v>
      </c>
      <c r="F333" s="3" t="s">
        <v>66</v>
      </c>
    </row>
    <row r="334" spans="1:6" ht="15.6" x14ac:dyDescent="0.3">
      <c r="A334" s="6" t="s">
        <v>655</v>
      </c>
      <c r="B334" s="6" t="s">
        <v>656</v>
      </c>
      <c r="C334" s="2">
        <f>DATE(2025,7,1)+TIME(15,25,18)</f>
        <v>45839.642569444448</v>
      </c>
      <c r="D334" s="1" t="s">
        <v>22</v>
      </c>
      <c r="E334" s="1" t="s">
        <v>641</v>
      </c>
      <c r="F334" s="1" t="s">
        <v>19</v>
      </c>
    </row>
    <row r="335" spans="1:6" ht="15.6" x14ac:dyDescent="0.3">
      <c r="A335" s="6" t="s">
        <v>657</v>
      </c>
      <c r="B335" s="6" t="s">
        <v>658</v>
      </c>
      <c r="C335" s="4">
        <f>DATE(2025,7,1)+TIME(14,39,48)</f>
        <v>45839.610972222225</v>
      </c>
      <c r="D335" s="3" t="s">
        <v>22</v>
      </c>
      <c r="E335" s="3" t="s">
        <v>641</v>
      </c>
      <c r="F335" s="3" t="s">
        <v>130</v>
      </c>
    </row>
    <row r="336" spans="1:6" ht="15.6" x14ac:dyDescent="0.3">
      <c r="A336" s="6" t="s">
        <v>659</v>
      </c>
      <c r="B336" s="6" t="s">
        <v>660</v>
      </c>
      <c r="C336" s="2">
        <f>DATE(2025,7,1)+TIME(13,55,45)</f>
        <v>45839.580381944441</v>
      </c>
      <c r="D336" s="1" t="s">
        <v>22</v>
      </c>
      <c r="E336" s="1" t="s">
        <v>641</v>
      </c>
      <c r="F336" s="1" t="s">
        <v>4</v>
      </c>
    </row>
    <row r="337" spans="1:6" ht="15.6" x14ac:dyDescent="0.3">
      <c r="A337" s="6" t="s">
        <v>471</v>
      </c>
      <c r="B337" s="6" t="s">
        <v>661</v>
      </c>
      <c r="C337" s="4">
        <f>DATE(2025,7,1)+TIME(13,45,29)</f>
        <v>45839.573252314818</v>
      </c>
      <c r="D337" s="3" t="s">
        <v>60</v>
      </c>
      <c r="E337" s="3" t="s">
        <v>336</v>
      </c>
      <c r="F337" s="3" t="s">
        <v>141</v>
      </c>
    </row>
    <row r="338" spans="1:6" ht="15.6" x14ac:dyDescent="0.3">
      <c r="A338" s="6" t="s">
        <v>662</v>
      </c>
      <c r="B338" s="6" t="s">
        <v>663</v>
      </c>
      <c r="C338" s="2">
        <f>DATE(2025,7,1)+TIME(13,45,24)</f>
        <v>45839.573194444441</v>
      </c>
      <c r="D338" s="1" t="s">
        <v>22</v>
      </c>
      <c r="E338" s="1" t="s">
        <v>641</v>
      </c>
      <c r="F338" s="1" t="s">
        <v>66</v>
      </c>
    </row>
    <row r="339" spans="1:6" ht="15.6" x14ac:dyDescent="0.3">
      <c r="A339" s="6" t="s">
        <v>554</v>
      </c>
      <c r="B339" s="6" t="s">
        <v>664</v>
      </c>
      <c r="C339" s="4">
        <f>DATE(2025,7,1)+TIME(13,44,19)</f>
        <v>45839.572442129633</v>
      </c>
      <c r="D339" s="3" t="s">
        <v>60</v>
      </c>
      <c r="E339" s="3" t="s">
        <v>336</v>
      </c>
      <c r="F339" s="3" t="s">
        <v>19</v>
      </c>
    </row>
    <row r="340" spans="1:6" ht="15.6" x14ac:dyDescent="0.3">
      <c r="A340" s="6" t="s">
        <v>665</v>
      </c>
      <c r="B340" s="6" t="s">
        <v>666</v>
      </c>
      <c r="C340" s="2">
        <f>DATE(2025,7,1)+TIME(13,40,9)</f>
        <v>45839.569548611114</v>
      </c>
      <c r="D340" s="1" t="s">
        <v>22</v>
      </c>
      <c r="E340" s="1" t="s">
        <v>641</v>
      </c>
      <c r="F340" s="1" t="s">
        <v>4</v>
      </c>
    </row>
    <row r="341" spans="1:6" ht="15.6" x14ac:dyDescent="0.3">
      <c r="A341" s="6" t="s">
        <v>290</v>
      </c>
      <c r="B341" s="6" t="s">
        <v>667</v>
      </c>
      <c r="C341" s="4">
        <f>DATE(2025,7,1)+TIME(13,31,10)</f>
        <v>45839.563310185185</v>
      </c>
      <c r="D341" s="3" t="s">
        <v>60</v>
      </c>
      <c r="E341" s="3" t="s">
        <v>336</v>
      </c>
      <c r="F341" s="3" t="s">
        <v>4</v>
      </c>
    </row>
    <row r="342" spans="1:6" ht="15.6" x14ac:dyDescent="0.3">
      <c r="A342" s="6" t="s">
        <v>668</v>
      </c>
      <c r="B342" s="6" t="s">
        <v>669</v>
      </c>
      <c r="C342" s="2">
        <f>DATE(2025,7,1)+TIME(12,55,45)</f>
        <v>45839.538715277777</v>
      </c>
      <c r="D342" s="1" t="s">
        <v>22</v>
      </c>
      <c r="E342" s="1" t="s">
        <v>641</v>
      </c>
      <c r="F342" s="1" t="s">
        <v>172</v>
      </c>
    </row>
    <row r="343" spans="1:6" ht="15.6" x14ac:dyDescent="0.3">
      <c r="A343" s="6" t="s">
        <v>670</v>
      </c>
      <c r="B343" s="6" t="s">
        <v>671</v>
      </c>
      <c r="C343" s="4">
        <f>DATE(2025,7,1)+TIME(12,53,28)</f>
        <v>45839.537129629629</v>
      </c>
      <c r="D343" s="3" t="s">
        <v>22</v>
      </c>
      <c r="E343" s="3" t="s">
        <v>641</v>
      </c>
      <c r="F343" s="3" t="s">
        <v>84</v>
      </c>
    </row>
    <row r="344" spans="1:6" ht="15.6" x14ac:dyDescent="0.3">
      <c r="A344" s="6" t="s">
        <v>672</v>
      </c>
      <c r="B344" s="6" t="s">
        <v>673</v>
      </c>
      <c r="C344" s="2">
        <f>DATE(2025,7,1)+TIME(12,52,27)</f>
        <v>45839.536423611113</v>
      </c>
      <c r="D344" s="1" t="s">
        <v>60</v>
      </c>
      <c r="E344" s="1" t="s">
        <v>336</v>
      </c>
      <c r="F344" s="1" t="s">
        <v>4</v>
      </c>
    </row>
    <row r="345" spans="1:6" ht="15.6" x14ac:dyDescent="0.3">
      <c r="A345" s="6" t="s">
        <v>292</v>
      </c>
      <c r="B345" s="6" t="s">
        <v>674</v>
      </c>
      <c r="C345" s="4">
        <f>DATE(2025,7,1)+TIME(12,48,55)</f>
        <v>45839.53396990741</v>
      </c>
      <c r="D345" s="3" t="s">
        <v>60</v>
      </c>
      <c r="E345" s="3" t="s">
        <v>336</v>
      </c>
      <c r="F345" s="3" t="s">
        <v>4</v>
      </c>
    </row>
    <row r="346" spans="1:6" ht="15.6" x14ac:dyDescent="0.3">
      <c r="A346" s="6" t="s">
        <v>675</v>
      </c>
      <c r="B346" s="6" t="s">
        <v>676</v>
      </c>
      <c r="C346" s="2">
        <f>DATE(2025,7,1)+TIME(12,47,53)</f>
        <v>45839.533252314817</v>
      </c>
      <c r="D346" s="1" t="s">
        <v>22</v>
      </c>
      <c r="E346" s="1" t="s">
        <v>641</v>
      </c>
      <c r="F346" s="1" t="s">
        <v>4</v>
      </c>
    </row>
    <row r="347" spans="1:6" ht="15.6" x14ac:dyDescent="0.3">
      <c r="A347" s="6" t="s">
        <v>281</v>
      </c>
      <c r="B347" s="6" t="s">
        <v>677</v>
      </c>
      <c r="C347" s="4">
        <f>DATE(2025,7,1)+TIME(12,45,5)</f>
        <v>45839.531307870369</v>
      </c>
      <c r="D347" s="3" t="s">
        <v>22</v>
      </c>
      <c r="E347" s="3" t="s">
        <v>641</v>
      </c>
      <c r="F347" s="3" t="s">
        <v>154</v>
      </c>
    </row>
    <row r="348" spans="1:6" ht="15.6" x14ac:dyDescent="0.3">
      <c r="A348" s="6" t="s">
        <v>678</v>
      </c>
      <c r="B348" s="6" t="s">
        <v>679</v>
      </c>
      <c r="C348" s="2">
        <f>DATE(2025,7,1)+TIME(12,24,6)</f>
        <v>45839.516736111109</v>
      </c>
      <c r="D348" s="1" t="s">
        <v>60</v>
      </c>
      <c r="E348" s="1" t="s">
        <v>336</v>
      </c>
      <c r="F348" s="1" t="s">
        <v>66</v>
      </c>
    </row>
    <row r="349" spans="1:6" ht="15.6" x14ac:dyDescent="0.3">
      <c r="A349" s="6" t="s">
        <v>680</v>
      </c>
      <c r="B349" s="6" t="s">
        <v>681</v>
      </c>
      <c r="C349" s="4">
        <f>DATE(2025,7,1)+TIME(12,14,3)</f>
        <v>45839.509756944448</v>
      </c>
      <c r="D349" s="3" t="s">
        <v>60</v>
      </c>
      <c r="E349" s="3" t="s">
        <v>336</v>
      </c>
      <c r="F349" s="3" t="s">
        <v>263</v>
      </c>
    </row>
    <row r="350" spans="1:6" ht="15.6" x14ac:dyDescent="0.3">
      <c r="A350" s="6" t="s">
        <v>20</v>
      </c>
      <c r="B350" s="6" t="s">
        <v>682</v>
      </c>
      <c r="C350" s="2">
        <f>DATE(2025,7,1)+TIME(12,13,48)</f>
        <v>45839.509583333333</v>
      </c>
      <c r="D350" s="1" t="s">
        <v>60</v>
      </c>
      <c r="E350" s="1" t="s">
        <v>336</v>
      </c>
      <c r="F350" s="1" t="s">
        <v>4</v>
      </c>
    </row>
    <row r="351" spans="1:6" ht="15.6" x14ac:dyDescent="0.3">
      <c r="A351" s="6" t="s">
        <v>683</v>
      </c>
      <c r="B351" s="6" t="s">
        <v>684</v>
      </c>
      <c r="C351" s="4">
        <f>DATE(2025,7,1)+TIME(12,12,59)</f>
        <v>45839.509016203701</v>
      </c>
      <c r="D351" s="3" t="s">
        <v>60</v>
      </c>
      <c r="E351" s="3" t="s">
        <v>336</v>
      </c>
      <c r="F351" s="3" t="s">
        <v>4</v>
      </c>
    </row>
    <row r="352" spans="1:6" ht="15.6" x14ac:dyDescent="0.3">
      <c r="A352" s="6" t="s">
        <v>619</v>
      </c>
      <c r="B352" s="6" t="s">
        <v>685</v>
      </c>
      <c r="C352" s="2">
        <f>DATE(2025,7,1)+TIME(12,12,45)</f>
        <v>45839.50885416667</v>
      </c>
      <c r="D352" s="1" t="s">
        <v>60</v>
      </c>
      <c r="E352" s="1" t="s">
        <v>336</v>
      </c>
      <c r="F352" s="1" t="s">
        <v>84</v>
      </c>
    </row>
    <row r="353" spans="1:6" ht="15.6" x14ac:dyDescent="0.3">
      <c r="A353" s="6" t="s">
        <v>173</v>
      </c>
      <c r="B353" s="6" t="s">
        <v>686</v>
      </c>
      <c r="C353" s="4">
        <f>DATE(2025,7,1)+TIME(11,28,23)</f>
        <v>45839.478043981479</v>
      </c>
      <c r="D353" s="3" t="s">
        <v>90</v>
      </c>
      <c r="E353" s="3" t="s">
        <v>687</v>
      </c>
      <c r="F353" s="3" t="s">
        <v>4</v>
      </c>
    </row>
    <row r="354" spans="1:6" ht="15.6" x14ac:dyDescent="0.3">
      <c r="A354" s="6" t="s">
        <v>688</v>
      </c>
      <c r="B354" s="6" t="s">
        <v>689</v>
      </c>
      <c r="C354" s="2">
        <f>DATE(2025,7,1)+TIME(11,25,16)</f>
        <v>45839.47587962963</v>
      </c>
      <c r="D354" s="1" t="s">
        <v>22</v>
      </c>
      <c r="E354" s="1" t="s">
        <v>641</v>
      </c>
      <c r="F354" s="1" t="s">
        <v>4</v>
      </c>
    </row>
    <row r="355" spans="1:6" ht="31.2" x14ac:dyDescent="0.3">
      <c r="A355" s="6" t="s">
        <v>410</v>
      </c>
      <c r="B355" s="6" t="s">
        <v>690</v>
      </c>
      <c r="C355" s="4">
        <f>DATE(2025,7,1)+TIME(10,33,47)</f>
        <v>45839.440127314818</v>
      </c>
      <c r="D355" s="3" t="s">
        <v>117</v>
      </c>
      <c r="E355" s="3" t="s">
        <v>118</v>
      </c>
      <c r="F355" s="3" t="s">
        <v>50</v>
      </c>
    </row>
    <row r="356" spans="1:6" ht="15.6" x14ac:dyDescent="0.3">
      <c r="A356" s="6" t="s">
        <v>691</v>
      </c>
      <c r="B356" s="6" t="s">
        <v>692</v>
      </c>
      <c r="C356" s="2">
        <f>DATE(2025,7,1)+TIME(9,36,16)</f>
        <v>45839.400185185186</v>
      </c>
      <c r="D356" s="1" t="s">
        <v>17</v>
      </c>
      <c r="E356" s="1" t="s">
        <v>693</v>
      </c>
      <c r="F356" s="1" t="s">
        <v>66</v>
      </c>
    </row>
    <row r="357" spans="1:6" ht="15.6" x14ac:dyDescent="0.3">
      <c r="A357" s="6" t="s">
        <v>694</v>
      </c>
      <c r="B357" s="6" t="s">
        <v>695</v>
      </c>
      <c r="C357" s="4">
        <f>DATE(2025,7,1)+TIME(8,35,30)</f>
        <v>45839.357986111114</v>
      </c>
      <c r="D357" s="3" t="s">
        <v>17</v>
      </c>
      <c r="E357" s="3" t="s">
        <v>693</v>
      </c>
      <c r="F357" s="3" t="s">
        <v>172</v>
      </c>
    </row>
    <row r="358" spans="1:6" ht="15.6" x14ac:dyDescent="0.3">
      <c r="A358" s="6" t="s">
        <v>164</v>
      </c>
      <c r="B358" s="6" t="s">
        <v>696</v>
      </c>
      <c r="C358" s="2">
        <f>DATE(2025,7,1)+TIME(8,35,20)</f>
        <v>45839.357870370368</v>
      </c>
      <c r="D358" s="1" t="s">
        <v>17</v>
      </c>
      <c r="E358" s="1" t="s">
        <v>693</v>
      </c>
      <c r="F358" s="1" t="s">
        <v>19</v>
      </c>
    </row>
    <row r="359" spans="1:6" ht="15.6" x14ac:dyDescent="0.3">
      <c r="A359" s="6" t="s">
        <v>173</v>
      </c>
      <c r="B359" s="6" t="s">
        <v>697</v>
      </c>
      <c r="C359" s="4">
        <f>DATE(2025,7,1)+TIME(7,18,13)</f>
        <v>45839.30431712963</v>
      </c>
      <c r="D359" s="3" t="s">
        <v>17</v>
      </c>
      <c r="E359" s="3" t="s">
        <v>18</v>
      </c>
      <c r="F359" s="3" t="s">
        <v>172</v>
      </c>
    </row>
    <row r="360" spans="1:6" ht="15.6" x14ac:dyDescent="0.3">
      <c r="A360" s="6" t="s">
        <v>196</v>
      </c>
      <c r="B360" s="6" t="s">
        <v>698</v>
      </c>
      <c r="C360" s="2">
        <f>DATE(2025,6,30)+TIME(15,37,39)</f>
        <v>45838.651145833333</v>
      </c>
      <c r="D360" s="1" t="s">
        <v>60</v>
      </c>
      <c r="E360" s="1" t="s">
        <v>336</v>
      </c>
      <c r="F360" s="1" t="s">
        <v>154</v>
      </c>
    </row>
    <row r="361" spans="1:6" ht="15.6" x14ac:dyDescent="0.3">
      <c r="A361" s="6" t="s">
        <v>699</v>
      </c>
      <c r="B361" s="6" t="s">
        <v>700</v>
      </c>
      <c r="C361" s="4">
        <f>DATE(2025,6,30)+TIME(8,32,28)</f>
        <v>45838.355879629627</v>
      </c>
      <c r="D361" s="3" t="s">
        <v>17</v>
      </c>
      <c r="E361" s="3" t="s">
        <v>18</v>
      </c>
      <c r="F361" s="3" t="s">
        <v>154</v>
      </c>
    </row>
    <row r="362" spans="1:6" ht="15.6" x14ac:dyDescent="0.3">
      <c r="A362" s="6" t="s">
        <v>428</v>
      </c>
      <c r="B362" s="6" t="s">
        <v>587</v>
      </c>
      <c r="C362" s="2">
        <f>DATE(2025,6,28)+TIME(16,45,23)</f>
        <v>45836.698182870372</v>
      </c>
      <c r="D362" s="1" t="s">
        <v>87</v>
      </c>
      <c r="E362" s="1" t="s">
        <v>363</v>
      </c>
      <c r="F362" s="1" t="s">
        <v>154</v>
      </c>
    </row>
    <row r="363" spans="1:6" ht="15.6" x14ac:dyDescent="0.3">
      <c r="A363" s="6" t="s">
        <v>219</v>
      </c>
      <c r="B363" s="6" t="s">
        <v>701</v>
      </c>
      <c r="C363" s="4">
        <f>DATE(2025,6,27)+TIME(13,14,44)</f>
        <v>45835.551898148151</v>
      </c>
      <c r="D363" s="3" t="s">
        <v>17</v>
      </c>
      <c r="E363" s="3" t="s">
        <v>18</v>
      </c>
      <c r="F363" s="3" t="s">
        <v>4</v>
      </c>
    </row>
    <row r="364" spans="1:6" ht="15.6" x14ac:dyDescent="0.3">
      <c r="A364" s="6" t="s">
        <v>67</v>
      </c>
      <c r="B364" s="6" t="s">
        <v>702</v>
      </c>
      <c r="C364" s="2">
        <f>DATE(2025,6,27)+TIME(13,7,32)</f>
        <v>45835.546898148146</v>
      </c>
      <c r="D364" s="1" t="s">
        <v>17</v>
      </c>
      <c r="E364" s="1" t="s">
        <v>18</v>
      </c>
      <c r="F364" s="1" t="s">
        <v>66</v>
      </c>
    </row>
    <row r="365" spans="1:6" ht="31.2" x14ac:dyDescent="0.3">
      <c r="A365" s="6" t="s">
        <v>196</v>
      </c>
      <c r="B365" s="6" t="s">
        <v>703</v>
      </c>
      <c r="C365" s="4">
        <f>DATE(2025,6,27)+TIME(11,55,32)</f>
        <v>45835.496898148151</v>
      </c>
      <c r="D365" s="3" t="s">
        <v>17</v>
      </c>
      <c r="E365" s="3" t="s">
        <v>636</v>
      </c>
      <c r="F365" s="3" t="s">
        <v>92</v>
      </c>
    </row>
    <row r="366" spans="1:6" ht="15.6" x14ac:dyDescent="0.3">
      <c r="A366" s="6" t="s">
        <v>228</v>
      </c>
      <c r="B366" s="6" t="s">
        <v>704</v>
      </c>
      <c r="C366" s="2">
        <f>DATE(2025,6,27)+TIME(11,53,2)</f>
        <v>45835.495162037034</v>
      </c>
      <c r="D366" s="1" t="s">
        <v>17</v>
      </c>
      <c r="E366" s="1" t="s">
        <v>18</v>
      </c>
      <c r="F366" s="1" t="s">
        <v>4</v>
      </c>
    </row>
    <row r="367" spans="1:6" ht="15.6" x14ac:dyDescent="0.3">
      <c r="A367" s="6" t="s">
        <v>705</v>
      </c>
      <c r="B367" s="6" t="s">
        <v>706</v>
      </c>
      <c r="C367" s="4">
        <f>DATE(2025,6,27)+TIME(11,52,49)</f>
        <v>45835.495011574072</v>
      </c>
      <c r="D367" s="3" t="s">
        <v>117</v>
      </c>
      <c r="E367" s="3" t="s">
        <v>149</v>
      </c>
      <c r="F367" s="3" t="s">
        <v>19</v>
      </c>
    </row>
    <row r="368" spans="1:6" ht="15.6" x14ac:dyDescent="0.3">
      <c r="A368" s="6" t="s">
        <v>372</v>
      </c>
      <c r="B368" s="6" t="s">
        <v>707</v>
      </c>
      <c r="C368" s="2">
        <f>DATE(2025,6,27)+TIME(11,39,16)</f>
        <v>45835.485601851855</v>
      </c>
      <c r="D368" s="1" t="s">
        <v>17</v>
      </c>
      <c r="E368" s="1" t="s">
        <v>18</v>
      </c>
      <c r="F368" s="1" t="s">
        <v>24</v>
      </c>
    </row>
    <row r="369" spans="1:6" ht="15.6" x14ac:dyDescent="0.3">
      <c r="A369" s="6" t="s">
        <v>708</v>
      </c>
      <c r="B369" s="6" t="s">
        <v>362</v>
      </c>
      <c r="C369" s="4">
        <f>DATE(2025,6,27)+TIME(9,50,48)</f>
        <v>45835.410277777781</v>
      </c>
      <c r="D369" s="3" t="s">
        <v>90</v>
      </c>
      <c r="E369" s="3" t="s">
        <v>687</v>
      </c>
      <c r="F369" s="3" t="s">
        <v>154</v>
      </c>
    </row>
    <row r="370" spans="1:6" ht="15.6" x14ac:dyDescent="0.3">
      <c r="A370" s="6" t="s">
        <v>562</v>
      </c>
      <c r="B370" s="6" t="s">
        <v>709</v>
      </c>
      <c r="C370" s="2">
        <f>DATE(2025,6,27)+TIME(8,58,2)</f>
        <v>45835.37363425926</v>
      </c>
      <c r="D370" s="1" t="s">
        <v>22</v>
      </c>
      <c r="E370" s="1" t="s">
        <v>449</v>
      </c>
      <c r="F370" s="1" t="s">
        <v>24</v>
      </c>
    </row>
    <row r="371" spans="1:6" ht="15.6" x14ac:dyDescent="0.3">
      <c r="A371" s="6" t="s">
        <v>104</v>
      </c>
      <c r="B371" s="6" t="s">
        <v>710</v>
      </c>
      <c r="C371" s="4">
        <f>DATE(2025,6,27)+TIME(8,50,6)</f>
        <v>45835.368125000001</v>
      </c>
      <c r="D371" s="3" t="s">
        <v>2</v>
      </c>
      <c r="E371" s="3" t="s">
        <v>198</v>
      </c>
      <c r="F371" s="3" t="s">
        <v>154</v>
      </c>
    </row>
    <row r="372" spans="1:6" ht="15.6" x14ac:dyDescent="0.3">
      <c r="A372" s="6" t="s">
        <v>147</v>
      </c>
      <c r="B372" s="6" t="s">
        <v>711</v>
      </c>
      <c r="C372" s="2">
        <f>DATE(2025,6,27)+TIME(8,48,40)</f>
        <v>45835.367129629631</v>
      </c>
      <c r="D372" s="1" t="s">
        <v>90</v>
      </c>
      <c r="E372" s="1" t="s">
        <v>687</v>
      </c>
      <c r="F372" s="1" t="s">
        <v>4</v>
      </c>
    </row>
    <row r="373" spans="1:6" ht="15.6" x14ac:dyDescent="0.3">
      <c r="A373" s="6" t="s">
        <v>15</v>
      </c>
      <c r="B373" s="6" t="s">
        <v>16</v>
      </c>
      <c r="C373" s="4">
        <f>DATE(2025,6,27)+TIME(8,45,4)</f>
        <v>45835.364629629628</v>
      </c>
      <c r="D373" s="3" t="s">
        <v>17</v>
      </c>
      <c r="E373" s="3" t="s">
        <v>18</v>
      </c>
      <c r="F373" s="3" t="s">
        <v>19</v>
      </c>
    </row>
    <row r="374" spans="1:6" ht="15.6" x14ac:dyDescent="0.3">
      <c r="A374" s="6" t="s">
        <v>488</v>
      </c>
      <c r="B374" s="6" t="s">
        <v>712</v>
      </c>
      <c r="C374" s="2">
        <f>DATE(2025,6,26)+TIME(22,23,52)</f>
        <v>45834.933240740742</v>
      </c>
      <c r="D374" s="1" t="s">
        <v>2</v>
      </c>
      <c r="E374" s="1" t="s">
        <v>198</v>
      </c>
      <c r="F374" s="1" t="s">
        <v>4</v>
      </c>
    </row>
    <row r="375" spans="1:6" ht="15.6" x14ac:dyDescent="0.3">
      <c r="A375" s="6" t="s">
        <v>713</v>
      </c>
      <c r="B375" s="6" t="s">
        <v>714</v>
      </c>
      <c r="C375" s="4">
        <f>DATE(2025,6,26)+TIME(13,26,57)</f>
        <v>45834.560381944444</v>
      </c>
      <c r="D375" s="3" t="s">
        <v>72</v>
      </c>
      <c r="E375" s="3" t="s">
        <v>715</v>
      </c>
      <c r="F375" s="3" t="s">
        <v>84</v>
      </c>
    </row>
    <row r="376" spans="1:6" ht="31.2" x14ac:dyDescent="0.3">
      <c r="A376" s="6" t="s">
        <v>716</v>
      </c>
      <c r="B376" s="6" t="s">
        <v>233</v>
      </c>
      <c r="C376" s="2">
        <f>DATE(2025,6,26)+TIME(6,34,43)</f>
        <v>45834.274108796293</v>
      </c>
      <c r="D376" s="1" t="s">
        <v>17</v>
      </c>
      <c r="E376" s="1" t="s">
        <v>636</v>
      </c>
      <c r="F376" s="1" t="s">
        <v>4</v>
      </c>
    </row>
    <row r="377" spans="1:6" ht="15.6" x14ac:dyDescent="0.3">
      <c r="A377" s="6" t="s">
        <v>717</v>
      </c>
      <c r="B377" s="6" t="s">
        <v>362</v>
      </c>
      <c r="C377" s="4">
        <f>DATE(2025,6,25)+TIME(15,19,41)</f>
        <v>45833.638668981483</v>
      </c>
      <c r="D377" s="3" t="s">
        <v>22</v>
      </c>
      <c r="E377" s="3" t="s">
        <v>449</v>
      </c>
      <c r="F377" s="3" t="s">
        <v>4</v>
      </c>
    </row>
    <row r="378" spans="1:6" ht="15.6" x14ac:dyDescent="0.3">
      <c r="A378" s="6" t="s">
        <v>718</v>
      </c>
      <c r="B378" s="6" t="s">
        <v>719</v>
      </c>
      <c r="C378" s="2">
        <f>DATE(2025,6,25)+TIME(14,6,35)</f>
        <v>45833.587905092594</v>
      </c>
      <c r="D378" s="1" t="s">
        <v>90</v>
      </c>
      <c r="E378" s="1" t="s">
        <v>687</v>
      </c>
      <c r="F378" s="1" t="s">
        <v>4</v>
      </c>
    </row>
    <row r="379" spans="1:6" ht="31.2" x14ac:dyDescent="0.3">
      <c r="A379" s="6" t="s">
        <v>720</v>
      </c>
      <c r="B379" s="6" t="s">
        <v>721</v>
      </c>
      <c r="C379" s="4">
        <f>DATE(2025,6,25)+TIME(12,5,20)</f>
        <v>45833.503703703704</v>
      </c>
      <c r="D379" s="3" t="s">
        <v>300</v>
      </c>
      <c r="E379" s="3" t="s">
        <v>12</v>
      </c>
      <c r="F379" s="3" t="s">
        <v>24</v>
      </c>
    </row>
    <row r="380" spans="1:6" ht="31.2" x14ac:dyDescent="0.3">
      <c r="A380" s="6" t="s">
        <v>500</v>
      </c>
      <c r="B380" s="6" t="s">
        <v>722</v>
      </c>
      <c r="C380" s="2">
        <f>DATE(2025,6,25)+TIME(11,38,17)</f>
        <v>45833.484918981485</v>
      </c>
      <c r="D380" s="1" t="s">
        <v>11</v>
      </c>
      <c r="E380" s="1" t="s">
        <v>723</v>
      </c>
      <c r="F380" s="1" t="s">
        <v>4</v>
      </c>
    </row>
    <row r="381" spans="1:6" ht="31.2" x14ac:dyDescent="0.3">
      <c r="A381" s="6" t="s">
        <v>20</v>
      </c>
      <c r="B381" s="6" t="s">
        <v>724</v>
      </c>
      <c r="C381" s="4">
        <f>DATE(2025,6,23)+TIME(16,12,19)</f>
        <v>45831.675219907411</v>
      </c>
      <c r="D381" s="3" t="s">
        <v>117</v>
      </c>
      <c r="E381" s="3" t="s">
        <v>118</v>
      </c>
      <c r="F381" s="3" t="s">
        <v>57</v>
      </c>
    </row>
    <row r="382" spans="1:6" ht="15.6" x14ac:dyDescent="0.3">
      <c r="A382" s="6" t="s">
        <v>228</v>
      </c>
      <c r="B382" s="6" t="s">
        <v>725</v>
      </c>
      <c r="C382" s="2">
        <f>DATE(2025,6,23)+TIME(15,16,18)</f>
        <v>45831.636319444442</v>
      </c>
      <c r="D382" s="1" t="s">
        <v>72</v>
      </c>
      <c r="E382" s="1" t="s">
        <v>715</v>
      </c>
      <c r="F382" s="1" t="s">
        <v>4</v>
      </c>
    </row>
    <row r="383" spans="1:6" ht="15.6" x14ac:dyDescent="0.3">
      <c r="A383" s="6" t="s">
        <v>726</v>
      </c>
      <c r="B383" s="6" t="s">
        <v>727</v>
      </c>
      <c r="C383" s="4">
        <f>DATE(2025,6,23)+TIME(14,29,44)</f>
        <v>45831.603981481479</v>
      </c>
      <c r="D383" s="3" t="s">
        <v>2</v>
      </c>
      <c r="E383" s="3" t="s">
        <v>198</v>
      </c>
      <c r="F383" s="3" t="s">
        <v>263</v>
      </c>
    </row>
    <row r="384" spans="1:6" ht="15.6" x14ac:dyDescent="0.3">
      <c r="A384" s="6" t="s">
        <v>67</v>
      </c>
      <c r="B384" s="6" t="s">
        <v>728</v>
      </c>
      <c r="C384" s="2">
        <f>DATE(2025,6,23)+TIME(14,12,59)</f>
        <v>45831.592349537037</v>
      </c>
      <c r="D384" s="1" t="s">
        <v>2</v>
      </c>
      <c r="E384" s="1" t="s">
        <v>198</v>
      </c>
      <c r="F384" s="1" t="s">
        <v>4</v>
      </c>
    </row>
    <row r="385" spans="1:6" ht="31.2" x14ac:dyDescent="0.3">
      <c r="A385" s="6" t="s">
        <v>228</v>
      </c>
      <c r="B385" s="6" t="s">
        <v>402</v>
      </c>
      <c r="C385" s="4">
        <f>DATE(2025,6,23)+TIME(14,12,55)</f>
        <v>45831.592303240737</v>
      </c>
      <c r="D385" s="3" t="s">
        <v>117</v>
      </c>
      <c r="E385" s="3" t="s">
        <v>118</v>
      </c>
      <c r="F385" s="3" t="s">
        <v>112</v>
      </c>
    </row>
    <row r="386" spans="1:6" ht="15.6" x14ac:dyDescent="0.3">
      <c r="A386" s="6" t="s">
        <v>5</v>
      </c>
      <c r="B386" s="6" t="s">
        <v>362</v>
      </c>
      <c r="C386" s="2">
        <f>DATE(2025,6,23)+TIME(11,47,44)</f>
        <v>45831.491481481484</v>
      </c>
      <c r="D386" s="1" t="s">
        <v>72</v>
      </c>
      <c r="E386" s="1" t="s">
        <v>354</v>
      </c>
      <c r="F386" s="1" t="s">
        <v>4</v>
      </c>
    </row>
    <row r="387" spans="1:6" ht="15.6" x14ac:dyDescent="0.3">
      <c r="A387" s="6" t="s">
        <v>729</v>
      </c>
      <c r="B387" s="6" t="s">
        <v>730</v>
      </c>
      <c r="C387" s="4">
        <f>DATE(2025,6,23)+TIME(11,17,47)</f>
        <v>45831.470682870371</v>
      </c>
      <c r="D387" s="3" t="s">
        <v>90</v>
      </c>
      <c r="E387" s="3" t="s">
        <v>687</v>
      </c>
      <c r="F387" s="3" t="s">
        <v>4</v>
      </c>
    </row>
    <row r="388" spans="1:6" ht="15.6" x14ac:dyDescent="0.3">
      <c r="A388" s="6" t="s">
        <v>731</v>
      </c>
      <c r="B388" s="6" t="s">
        <v>732</v>
      </c>
      <c r="C388" s="2">
        <f>DATE(2025,6,23)+TIME(9,41,21)</f>
        <v>45831.403715277775</v>
      </c>
      <c r="D388" s="1" t="s">
        <v>72</v>
      </c>
      <c r="E388" s="1" t="s">
        <v>715</v>
      </c>
      <c r="F388" s="1" t="s">
        <v>172</v>
      </c>
    </row>
    <row r="389" spans="1:6" ht="15.6" x14ac:dyDescent="0.3">
      <c r="A389" s="6" t="s">
        <v>38</v>
      </c>
      <c r="B389" s="6" t="s">
        <v>733</v>
      </c>
      <c r="C389" s="4">
        <f>DATE(2025,6,23)+TIME(9,31,26)</f>
        <v>45831.396828703706</v>
      </c>
      <c r="D389" s="3" t="s">
        <v>117</v>
      </c>
      <c r="E389" s="3" t="s">
        <v>473</v>
      </c>
      <c r="F389" s="3" t="s">
        <v>4</v>
      </c>
    </row>
    <row r="390" spans="1:6" ht="15.6" x14ac:dyDescent="0.3">
      <c r="A390" s="6" t="s">
        <v>310</v>
      </c>
      <c r="B390" s="6" t="s">
        <v>734</v>
      </c>
      <c r="C390" s="2">
        <f>DATE(2025,6,23)+TIME(8,50,10)</f>
        <v>45831.368171296293</v>
      </c>
      <c r="D390" s="1" t="s">
        <v>72</v>
      </c>
      <c r="E390" s="1" t="s">
        <v>354</v>
      </c>
      <c r="F390" s="1" t="s">
        <v>172</v>
      </c>
    </row>
    <row r="391" spans="1:6" ht="31.2" x14ac:dyDescent="0.3">
      <c r="A391" s="6" t="s">
        <v>393</v>
      </c>
      <c r="B391" s="6" t="s">
        <v>735</v>
      </c>
      <c r="C391" s="4">
        <f>DATE(2025,6,23)+TIME(8,44,20)</f>
        <v>45831.364120370374</v>
      </c>
      <c r="D391" s="3" t="s">
        <v>117</v>
      </c>
      <c r="E391" s="3" t="s">
        <v>118</v>
      </c>
      <c r="F391" s="3" t="s">
        <v>263</v>
      </c>
    </row>
    <row r="392" spans="1:6" ht="15.6" x14ac:dyDescent="0.3">
      <c r="A392" s="6" t="s">
        <v>407</v>
      </c>
      <c r="B392" s="6" t="s">
        <v>736</v>
      </c>
      <c r="C392" s="2">
        <f>DATE(2025,6,23)+TIME(8,38,36)</f>
        <v>45831.360138888886</v>
      </c>
      <c r="D392" s="1" t="s">
        <v>72</v>
      </c>
      <c r="E392" s="1" t="s">
        <v>354</v>
      </c>
      <c r="F392" s="1" t="s">
        <v>66</v>
      </c>
    </row>
    <row r="393" spans="1:6" ht="15.6" x14ac:dyDescent="0.3">
      <c r="A393" s="6" t="s">
        <v>737</v>
      </c>
      <c r="B393" s="6" t="s">
        <v>738</v>
      </c>
      <c r="C393" s="4">
        <f>DATE(2025,6,23)+TIME(8,32,6)</f>
        <v>45831.355624999997</v>
      </c>
      <c r="D393" s="3" t="s">
        <v>72</v>
      </c>
      <c r="E393" s="3" t="s">
        <v>354</v>
      </c>
      <c r="F393" s="3" t="s">
        <v>84</v>
      </c>
    </row>
    <row r="394" spans="1:6" ht="15.6" x14ac:dyDescent="0.3">
      <c r="A394" s="6" t="s">
        <v>739</v>
      </c>
      <c r="B394" s="6" t="s">
        <v>740</v>
      </c>
      <c r="C394" s="2">
        <f>DATE(2025,6,21)+TIME(16,21,0)</f>
        <v>45829.681250000001</v>
      </c>
      <c r="D394" s="1" t="s">
        <v>22</v>
      </c>
      <c r="E394" s="1" t="s">
        <v>449</v>
      </c>
      <c r="F394" s="1" t="s">
        <v>76</v>
      </c>
    </row>
    <row r="395" spans="1:6" ht="31.2" x14ac:dyDescent="0.3">
      <c r="A395" s="6" t="s">
        <v>741</v>
      </c>
      <c r="B395" s="6" t="s">
        <v>742</v>
      </c>
      <c r="C395" s="4">
        <f>DATE(2025,6,20)+TIME(18,14,29)</f>
        <v>45828.760057870371</v>
      </c>
      <c r="D395" s="3" t="s">
        <v>17</v>
      </c>
      <c r="E395" s="3" t="s">
        <v>636</v>
      </c>
      <c r="F395" s="3" t="s">
        <v>141</v>
      </c>
    </row>
    <row r="396" spans="1:6" ht="31.2" x14ac:dyDescent="0.3">
      <c r="A396" s="6" t="s">
        <v>743</v>
      </c>
      <c r="B396" s="6" t="s">
        <v>744</v>
      </c>
      <c r="C396" s="2">
        <f>DATE(2025,6,20)+TIME(17,21,16)</f>
        <v>45828.723101851851</v>
      </c>
      <c r="D396" s="1" t="s">
        <v>117</v>
      </c>
      <c r="E396" s="1" t="s">
        <v>118</v>
      </c>
      <c r="F396" s="1" t="s">
        <v>84</v>
      </c>
    </row>
    <row r="397" spans="1:6" ht="15.6" x14ac:dyDescent="0.3">
      <c r="A397" s="6" t="s">
        <v>745</v>
      </c>
      <c r="B397" s="6" t="s">
        <v>746</v>
      </c>
      <c r="C397" s="4">
        <f>DATE(2025,6,20)+TIME(15,56,58)</f>
        <v>45828.664560185185</v>
      </c>
      <c r="D397" s="3" t="s">
        <v>72</v>
      </c>
      <c r="E397" s="3" t="s">
        <v>354</v>
      </c>
      <c r="F397" s="3" t="s">
        <v>4</v>
      </c>
    </row>
    <row r="398" spans="1:6" ht="31.2" x14ac:dyDescent="0.3">
      <c r="A398" s="6" t="s">
        <v>330</v>
      </c>
      <c r="B398" s="6" t="s">
        <v>747</v>
      </c>
      <c r="C398" s="2">
        <f>DATE(2025,6,20)+TIME(15,9,10)</f>
        <v>45828.631365740737</v>
      </c>
      <c r="D398" s="1" t="s">
        <v>117</v>
      </c>
      <c r="E398" s="1" t="s">
        <v>118</v>
      </c>
      <c r="F398" s="1" t="s">
        <v>159</v>
      </c>
    </row>
    <row r="399" spans="1:6" ht="31.2" x14ac:dyDescent="0.3">
      <c r="A399" s="6" t="s">
        <v>748</v>
      </c>
      <c r="B399" s="6" t="s">
        <v>749</v>
      </c>
      <c r="C399" s="4">
        <f>DATE(2025,6,20)+TIME(14,41,6)</f>
        <v>45828.611875000002</v>
      </c>
      <c r="D399" s="3" t="s">
        <v>117</v>
      </c>
      <c r="E399" s="3" t="s">
        <v>118</v>
      </c>
      <c r="F399" s="3" t="s">
        <v>19</v>
      </c>
    </row>
    <row r="400" spans="1:6" ht="15.6" x14ac:dyDescent="0.3">
      <c r="A400" s="6" t="s">
        <v>750</v>
      </c>
      <c r="B400" s="6" t="s">
        <v>751</v>
      </c>
      <c r="C400" s="2">
        <f>DATE(2025,6,20)+TIME(13,49,50)</f>
        <v>45828.576273148145</v>
      </c>
      <c r="D400" s="1" t="s">
        <v>72</v>
      </c>
      <c r="E400" s="1" t="s">
        <v>354</v>
      </c>
      <c r="F400" s="1" t="s">
        <v>4</v>
      </c>
    </row>
    <row r="401" spans="1:6" ht="15.6" x14ac:dyDescent="0.3">
      <c r="A401" s="6" t="s">
        <v>25</v>
      </c>
      <c r="B401" s="6" t="s">
        <v>752</v>
      </c>
      <c r="C401" s="4">
        <f>DATE(2025,6,20)+TIME(9,2,56)</f>
        <v>45828.37703703704</v>
      </c>
      <c r="D401" s="3" t="s">
        <v>117</v>
      </c>
      <c r="E401" s="3" t="s">
        <v>473</v>
      </c>
      <c r="F401" s="3" t="s">
        <v>4</v>
      </c>
    </row>
    <row r="402" spans="1:6" ht="15.6" x14ac:dyDescent="0.3">
      <c r="A402" s="6" t="s">
        <v>385</v>
      </c>
      <c r="B402" s="6" t="s">
        <v>753</v>
      </c>
      <c r="C402" s="2">
        <f>DATE(2025,6,19)+TIME(22,42,37)</f>
        <v>45827.946261574078</v>
      </c>
      <c r="D402" s="1" t="s">
        <v>72</v>
      </c>
      <c r="E402" s="1" t="s">
        <v>715</v>
      </c>
      <c r="F402" s="1" t="s">
        <v>4</v>
      </c>
    </row>
    <row r="403" spans="1:6" ht="15.6" x14ac:dyDescent="0.3">
      <c r="A403" s="6" t="s">
        <v>754</v>
      </c>
      <c r="B403" s="6" t="s">
        <v>755</v>
      </c>
      <c r="C403" s="4">
        <f>DATE(2025,6,19)+TIME(16,25,33)</f>
        <v>45827.68440972222</v>
      </c>
      <c r="D403" s="3" t="s">
        <v>22</v>
      </c>
      <c r="E403" s="3" t="s">
        <v>449</v>
      </c>
      <c r="F403" s="3" t="s">
        <v>112</v>
      </c>
    </row>
    <row r="404" spans="1:6" ht="15.6" x14ac:dyDescent="0.3">
      <c r="A404" s="6" t="s">
        <v>756</v>
      </c>
      <c r="B404" s="6" t="s">
        <v>757</v>
      </c>
      <c r="C404" s="2">
        <f>DATE(2025,6,19)+TIME(15,58,29)</f>
        <v>45827.665613425925</v>
      </c>
      <c r="D404" s="1" t="s">
        <v>7</v>
      </c>
      <c r="E404" s="1" t="s">
        <v>758</v>
      </c>
      <c r="F404" s="1" t="s">
        <v>263</v>
      </c>
    </row>
    <row r="405" spans="1:6" ht="15.6" x14ac:dyDescent="0.3">
      <c r="A405" s="6" t="s">
        <v>93</v>
      </c>
      <c r="B405" s="6" t="s">
        <v>276</v>
      </c>
      <c r="C405" s="4">
        <f>DATE(2025,6,19)+TIME(15,6,35)</f>
        <v>45827.629571759258</v>
      </c>
      <c r="D405" s="3" t="s">
        <v>7</v>
      </c>
      <c r="E405" s="3" t="s">
        <v>157</v>
      </c>
      <c r="F405" s="3" t="s">
        <v>45</v>
      </c>
    </row>
    <row r="406" spans="1:6" ht="15.6" x14ac:dyDescent="0.3">
      <c r="A406" s="6" t="s">
        <v>99</v>
      </c>
      <c r="B406" s="6" t="s">
        <v>759</v>
      </c>
      <c r="C406" s="2">
        <f>DATE(2025,6,19)+TIME(15,5,55)</f>
        <v>45827.629108796296</v>
      </c>
      <c r="D406" s="1" t="s">
        <v>7</v>
      </c>
      <c r="E406" s="1" t="s">
        <v>758</v>
      </c>
      <c r="F406" s="1" t="s">
        <v>24</v>
      </c>
    </row>
    <row r="407" spans="1:6" ht="15.6" x14ac:dyDescent="0.3">
      <c r="A407" s="6" t="s">
        <v>760</v>
      </c>
      <c r="B407" s="6" t="s">
        <v>761</v>
      </c>
      <c r="C407" s="4">
        <f>DATE(2025,6,19)+TIME(15,5,52)</f>
        <v>45827.629074074073</v>
      </c>
      <c r="D407" s="3" t="s">
        <v>7</v>
      </c>
      <c r="E407" s="3" t="s">
        <v>758</v>
      </c>
      <c r="F407" s="3" t="s">
        <v>263</v>
      </c>
    </row>
    <row r="408" spans="1:6" ht="15.6" x14ac:dyDescent="0.3">
      <c r="A408" s="6" t="s">
        <v>762</v>
      </c>
      <c r="B408" s="6" t="s">
        <v>763</v>
      </c>
      <c r="C408" s="2">
        <f>DATE(2025,6,19)+TIME(15,5,1)</f>
        <v>45827.628483796296</v>
      </c>
      <c r="D408" s="1" t="s">
        <v>7</v>
      </c>
      <c r="E408" s="1" t="s">
        <v>758</v>
      </c>
      <c r="F408" s="1" t="s">
        <v>66</v>
      </c>
    </row>
    <row r="409" spans="1:6" ht="15.6" x14ac:dyDescent="0.3">
      <c r="A409" s="6" t="s">
        <v>764</v>
      </c>
      <c r="B409" s="6" t="s">
        <v>765</v>
      </c>
      <c r="C409" s="4">
        <f>DATE(2025,6,19)+TIME(15,2,36)</f>
        <v>45827.626805555556</v>
      </c>
      <c r="D409" s="3" t="s">
        <v>7</v>
      </c>
      <c r="E409" s="3" t="s">
        <v>758</v>
      </c>
      <c r="F409" s="3" t="s">
        <v>24</v>
      </c>
    </row>
    <row r="410" spans="1:6" ht="15.6" x14ac:dyDescent="0.3">
      <c r="A410" s="6" t="s">
        <v>766</v>
      </c>
      <c r="B410" s="6" t="s">
        <v>566</v>
      </c>
      <c r="C410" s="2">
        <f>DATE(2025,6,19)+TIME(15,2,9)</f>
        <v>45827.626493055555</v>
      </c>
      <c r="D410" s="1" t="s">
        <v>7</v>
      </c>
      <c r="E410" s="1" t="s">
        <v>758</v>
      </c>
      <c r="F410" s="1" t="s">
        <v>112</v>
      </c>
    </row>
    <row r="411" spans="1:6" ht="15.6" x14ac:dyDescent="0.3">
      <c r="A411" s="6" t="s">
        <v>767</v>
      </c>
      <c r="B411" s="6" t="s">
        <v>768</v>
      </c>
      <c r="C411" s="4">
        <f>DATE(2025,6,19)+TIME(14,30,39)</f>
        <v>45827.604618055557</v>
      </c>
      <c r="D411" s="3" t="s">
        <v>22</v>
      </c>
      <c r="E411" s="3" t="s">
        <v>449</v>
      </c>
      <c r="F411" s="3" t="s">
        <v>19</v>
      </c>
    </row>
    <row r="412" spans="1:6" ht="15.6" x14ac:dyDescent="0.3">
      <c r="A412" s="6" t="s">
        <v>769</v>
      </c>
      <c r="B412" s="6" t="s">
        <v>770</v>
      </c>
      <c r="C412" s="2">
        <f>DATE(2025,6,19)+TIME(14,7,59)</f>
        <v>45827.588877314818</v>
      </c>
      <c r="D412" s="1" t="s">
        <v>22</v>
      </c>
      <c r="E412" s="1" t="s">
        <v>449</v>
      </c>
      <c r="F412" s="1" t="s">
        <v>154</v>
      </c>
    </row>
    <row r="413" spans="1:6" ht="31.2" x14ac:dyDescent="0.3">
      <c r="A413" s="6" t="s">
        <v>771</v>
      </c>
      <c r="B413" s="6" t="s">
        <v>772</v>
      </c>
      <c r="C413" s="4">
        <f>DATE(2025,6,19)+TIME(13,18,19)</f>
        <v>45827.554386574076</v>
      </c>
      <c r="D413" s="3" t="s">
        <v>17</v>
      </c>
      <c r="E413" s="3" t="s">
        <v>607</v>
      </c>
      <c r="F413" s="3" t="s">
        <v>130</v>
      </c>
    </row>
    <row r="414" spans="1:6" ht="15.6" x14ac:dyDescent="0.3">
      <c r="A414" s="6" t="s">
        <v>773</v>
      </c>
      <c r="B414" s="6" t="s">
        <v>774</v>
      </c>
      <c r="C414" s="2">
        <f>DATE(2025,6,19)+TIME(10,46,26)</f>
        <v>45827.448912037034</v>
      </c>
      <c r="D414" s="1" t="s">
        <v>72</v>
      </c>
      <c r="E414" s="1" t="s">
        <v>715</v>
      </c>
      <c r="F414" s="1" t="s">
        <v>4</v>
      </c>
    </row>
    <row r="415" spans="1:6" ht="15.6" x14ac:dyDescent="0.3">
      <c r="A415" s="6" t="s">
        <v>579</v>
      </c>
      <c r="B415" s="6" t="s">
        <v>775</v>
      </c>
      <c r="C415" s="4">
        <f>DATE(2025,6,19)+TIME(8,46,28)</f>
        <v>45827.365601851852</v>
      </c>
      <c r="D415" s="3" t="s">
        <v>72</v>
      </c>
      <c r="E415" s="3" t="s">
        <v>715</v>
      </c>
      <c r="F415" s="3" t="s">
        <v>24</v>
      </c>
    </row>
    <row r="416" spans="1:6" ht="15.6" x14ac:dyDescent="0.3">
      <c r="A416" s="6" t="s">
        <v>776</v>
      </c>
      <c r="B416" s="6" t="s">
        <v>777</v>
      </c>
      <c r="C416" s="2">
        <f>DATE(2025,6,19)+TIME(8,39,16)</f>
        <v>45827.360601851855</v>
      </c>
      <c r="D416" s="1" t="s">
        <v>117</v>
      </c>
      <c r="E416" s="1" t="s">
        <v>473</v>
      </c>
      <c r="F416" s="1" t="s">
        <v>19</v>
      </c>
    </row>
    <row r="417" spans="1:6" ht="15.6" x14ac:dyDescent="0.3">
      <c r="A417" s="6" t="s">
        <v>778</v>
      </c>
      <c r="B417" s="6" t="s">
        <v>779</v>
      </c>
      <c r="C417" s="4">
        <f>DATE(2025,6,19)+TIME(8,25,10)</f>
        <v>45827.350810185184</v>
      </c>
      <c r="D417" s="3" t="s">
        <v>117</v>
      </c>
      <c r="E417" s="3" t="s">
        <v>473</v>
      </c>
      <c r="F417" s="3" t="s">
        <v>159</v>
      </c>
    </row>
    <row r="418" spans="1:6" ht="31.2" x14ac:dyDescent="0.3">
      <c r="A418" s="6" t="s">
        <v>780</v>
      </c>
      <c r="B418" s="6" t="s">
        <v>781</v>
      </c>
      <c r="C418" s="2">
        <f>DATE(2025,6,19)+TIME(7,21,3)</f>
        <v>45827.306284722225</v>
      </c>
      <c r="D418" s="1" t="s">
        <v>117</v>
      </c>
      <c r="E418" s="1" t="s">
        <v>473</v>
      </c>
      <c r="F418" s="1" t="s">
        <v>57</v>
      </c>
    </row>
    <row r="419" spans="1:6" ht="15.6" x14ac:dyDescent="0.3">
      <c r="A419" s="6" t="s">
        <v>782</v>
      </c>
      <c r="B419" s="6" t="s">
        <v>783</v>
      </c>
      <c r="C419" s="4">
        <f>DATE(2025,6,19)+TIME(7,20,49)</f>
        <v>45827.306122685186</v>
      </c>
      <c r="D419" s="3" t="s">
        <v>72</v>
      </c>
      <c r="E419" s="3" t="s">
        <v>715</v>
      </c>
      <c r="F419" s="3" t="s">
        <v>4</v>
      </c>
    </row>
    <row r="420" spans="1:6" ht="15.6" x14ac:dyDescent="0.3">
      <c r="A420" s="6" t="s">
        <v>310</v>
      </c>
      <c r="B420" s="6" t="s">
        <v>784</v>
      </c>
      <c r="C420" s="2">
        <f>DATE(2025,6,19)+TIME(7,14,49)</f>
        <v>45827.30195601852</v>
      </c>
      <c r="D420" s="1" t="s">
        <v>72</v>
      </c>
      <c r="E420" s="1" t="s">
        <v>715</v>
      </c>
      <c r="F420" s="1" t="s">
        <v>154</v>
      </c>
    </row>
    <row r="421" spans="1:6" ht="15.6" x14ac:dyDescent="0.3">
      <c r="A421" s="6" t="s">
        <v>352</v>
      </c>
      <c r="B421" s="6" t="s">
        <v>785</v>
      </c>
      <c r="C421" s="4">
        <f>DATE(2025,6,19)+TIME(7,5,51)</f>
        <v>45827.295729166668</v>
      </c>
      <c r="D421" s="3" t="s">
        <v>117</v>
      </c>
      <c r="E421" s="3" t="s">
        <v>473</v>
      </c>
      <c r="F421" s="3" t="s">
        <v>154</v>
      </c>
    </row>
    <row r="422" spans="1:6" ht="31.2" x14ac:dyDescent="0.3">
      <c r="A422" s="6" t="s">
        <v>496</v>
      </c>
      <c r="B422" s="6" t="s">
        <v>786</v>
      </c>
      <c r="C422" s="2">
        <f>DATE(2025,6,18)+TIME(16,10,55)</f>
        <v>45826.674247685187</v>
      </c>
      <c r="D422" s="1" t="s">
        <v>17</v>
      </c>
      <c r="E422" s="1" t="s">
        <v>636</v>
      </c>
      <c r="F422" s="1" t="s">
        <v>76</v>
      </c>
    </row>
    <row r="423" spans="1:6" ht="15.6" x14ac:dyDescent="0.3">
      <c r="A423" s="6" t="s">
        <v>0</v>
      </c>
      <c r="B423" s="6" t="s">
        <v>787</v>
      </c>
      <c r="C423" s="4">
        <f>DATE(2025,6,18)+TIME(16,10,48)</f>
        <v>45826.674166666664</v>
      </c>
      <c r="D423" s="3" t="s">
        <v>22</v>
      </c>
      <c r="E423" s="3" t="s">
        <v>69</v>
      </c>
      <c r="F423" s="3" t="s">
        <v>45</v>
      </c>
    </row>
    <row r="424" spans="1:6" ht="31.2" x14ac:dyDescent="0.3">
      <c r="A424" s="6" t="s">
        <v>633</v>
      </c>
      <c r="B424" s="6" t="s">
        <v>788</v>
      </c>
      <c r="C424" s="2">
        <f>DATE(2025,6,18)+TIME(16,9,39)</f>
        <v>45826.673368055555</v>
      </c>
      <c r="D424" s="1" t="s">
        <v>11</v>
      </c>
      <c r="E424" s="1" t="s">
        <v>723</v>
      </c>
      <c r="F424" s="1" t="s">
        <v>4</v>
      </c>
    </row>
    <row r="425" spans="1:6" ht="15.6" x14ac:dyDescent="0.3">
      <c r="A425" s="6" t="s">
        <v>789</v>
      </c>
      <c r="B425" s="6" t="s">
        <v>790</v>
      </c>
      <c r="C425" s="4">
        <f>DATE(2025,6,18)+TIME(14,47,39)</f>
        <v>45826.616423611114</v>
      </c>
      <c r="D425" s="3" t="s">
        <v>22</v>
      </c>
      <c r="E425" s="3" t="s">
        <v>69</v>
      </c>
      <c r="F425" s="3" t="s">
        <v>112</v>
      </c>
    </row>
    <row r="426" spans="1:6" ht="31.2" x14ac:dyDescent="0.3">
      <c r="A426" s="6" t="s">
        <v>407</v>
      </c>
      <c r="B426" s="6" t="s">
        <v>791</v>
      </c>
      <c r="C426" s="2">
        <f>DATE(2025,6,18)+TIME(14,11,58)</f>
        <v>45826.591643518521</v>
      </c>
      <c r="D426" s="1" t="s">
        <v>17</v>
      </c>
      <c r="E426" s="1" t="s">
        <v>636</v>
      </c>
      <c r="F426" s="1" t="s">
        <v>154</v>
      </c>
    </row>
    <row r="427" spans="1:6" ht="31.2" x14ac:dyDescent="0.3">
      <c r="A427" s="6" t="s">
        <v>792</v>
      </c>
      <c r="B427" s="6" t="s">
        <v>233</v>
      </c>
      <c r="C427" s="4">
        <f>DATE(2025,6,18)+TIME(12,28,8)</f>
        <v>45826.519537037035</v>
      </c>
      <c r="D427" s="3" t="s">
        <v>17</v>
      </c>
      <c r="E427" s="3" t="s">
        <v>636</v>
      </c>
      <c r="F427" s="3" t="s">
        <v>19</v>
      </c>
    </row>
    <row r="428" spans="1:6" ht="31.2" x14ac:dyDescent="0.3">
      <c r="A428" s="6" t="s">
        <v>793</v>
      </c>
      <c r="B428" s="6" t="s">
        <v>794</v>
      </c>
      <c r="C428" s="2">
        <f>DATE(2025,6,18)+TIME(11,16,47)</f>
        <v>45826.469988425924</v>
      </c>
      <c r="D428" s="1" t="s">
        <v>17</v>
      </c>
      <c r="E428" s="1" t="s">
        <v>636</v>
      </c>
      <c r="F428" s="1" t="s">
        <v>159</v>
      </c>
    </row>
    <row r="429" spans="1:6" ht="31.2" x14ac:dyDescent="0.3">
      <c r="A429" s="6" t="s">
        <v>795</v>
      </c>
      <c r="B429" s="6" t="s">
        <v>796</v>
      </c>
      <c r="C429" s="4">
        <f>DATE(2025,6,18)+TIME(11,8,57)</f>
        <v>45826.464548611111</v>
      </c>
      <c r="D429" s="3" t="s">
        <v>17</v>
      </c>
      <c r="E429" s="3" t="s">
        <v>636</v>
      </c>
      <c r="F429" s="3" t="s">
        <v>172</v>
      </c>
    </row>
    <row r="430" spans="1:6" ht="31.2" x14ac:dyDescent="0.3">
      <c r="A430" s="6" t="s">
        <v>281</v>
      </c>
      <c r="B430" s="6" t="s">
        <v>797</v>
      </c>
      <c r="C430" s="2">
        <f>DATE(2025,6,18)+TIME(11,7,38)</f>
        <v>45826.463634259257</v>
      </c>
      <c r="D430" s="1" t="s">
        <v>17</v>
      </c>
      <c r="E430" s="1" t="s">
        <v>636</v>
      </c>
      <c r="F430" s="1" t="s">
        <v>4</v>
      </c>
    </row>
    <row r="431" spans="1:6" ht="31.2" x14ac:dyDescent="0.3">
      <c r="A431" s="6" t="s">
        <v>332</v>
      </c>
      <c r="B431" s="6" t="s">
        <v>798</v>
      </c>
      <c r="C431" s="4">
        <f>DATE(2025,6,18)+TIME(11,7,34)</f>
        <v>45826.463587962964</v>
      </c>
      <c r="D431" s="3" t="s">
        <v>17</v>
      </c>
      <c r="E431" s="3" t="s">
        <v>636</v>
      </c>
      <c r="F431" s="3" t="s">
        <v>45</v>
      </c>
    </row>
    <row r="432" spans="1:6" ht="31.2" x14ac:dyDescent="0.3">
      <c r="A432" s="6" t="s">
        <v>799</v>
      </c>
      <c r="B432" s="6" t="s">
        <v>800</v>
      </c>
      <c r="C432" s="2">
        <f>DATE(2025,6,18)+TIME(11,6,44)</f>
        <v>45826.463009259256</v>
      </c>
      <c r="D432" s="1" t="s">
        <v>17</v>
      </c>
      <c r="E432" s="1" t="s">
        <v>636</v>
      </c>
      <c r="F432" s="1" t="s">
        <v>57</v>
      </c>
    </row>
    <row r="433" spans="1:6" ht="31.2" x14ac:dyDescent="0.3">
      <c r="A433" s="6" t="s">
        <v>20</v>
      </c>
      <c r="B433" s="6" t="s">
        <v>801</v>
      </c>
      <c r="C433" s="4">
        <f>DATE(2025,6,18)+TIME(11,6,37)</f>
        <v>45826.46292824074</v>
      </c>
      <c r="D433" s="3" t="s">
        <v>17</v>
      </c>
      <c r="E433" s="3" t="s">
        <v>636</v>
      </c>
      <c r="F433" s="3" t="s">
        <v>4</v>
      </c>
    </row>
    <row r="434" spans="1:6" ht="31.2" x14ac:dyDescent="0.3">
      <c r="A434" s="6" t="s">
        <v>802</v>
      </c>
      <c r="B434" s="6" t="s">
        <v>803</v>
      </c>
      <c r="C434" s="2">
        <f>DATE(2025,6,18)+TIME(11,6,14)</f>
        <v>45826.46266203704</v>
      </c>
      <c r="D434" s="1" t="s">
        <v>17</v>
      </c>
      <c r="E434" s="1" t="s">
        <v>636</v>
      </c>
      <c r="F434" s="1" t="s">
        <v>130</v>
      </c>
    </row>
    <row r="435" spans="1:6" ht="15.6" x14ac:dyDescent="0.3">
      <c r="A435" s="6" t="s">
        <v>804</v>
      </c>
      <c r="B435" s="6" t="s">
        <v>805</v>
      </c>
      <c r="C435" s="4">
        <f>DATE(2025,6,18)+TIME(10,57,18)</f>
        <v>45826.456458333334</v>
      </c>
      <c r="D435" s="3" t="s">
        <v>60</v>
      </c>
      <c r="E435" s="3" t="s">
        <v>83</v>
      </c>
      <c r="F435" s="3" t="s">
        <v>4</v>
      </c>
    </row>
    <row r="436" spans="1:6" ht="15.6" x14ac:dyDescent="0.3">
      <c r="A436" s="6" t="s">
        <v>806</v>
      </c>
      <c r="B436" s="6" t="s">
        <v>807</v>
      </c>
      <c r="C436" s="2">
        <f>DATE(2025,6,18)+TIME(9,0,24)</f>
        <v>45826.375277777777</v>
      </c>
      <c r="D436" s="1" t="s">
        <v>7</v>
      </c>
      <c r="E436" s="1" t="s">
        <v>758</v>
      </c>
      <c r="F436" s="1" t="s">
        <v>92</v>
      </c>
    </row>
    <row r="437" spans="1:6" ht="15.6" x14ac:dyDescent="0.3">
      <c r="A437" s="6" t="s">
        <v>808</v>
      </c>
      <c r="B437" s="6" t="s">
        <v>809</v>
      </c>
      <c r="C437" s="4">
        <f>DATE(2025,6,18)+TIME(8,50,8)</f>
        <v>45826.368148148147</v>
      </c>
      <c r="D437" s="3" t="s">
        <v>7</v>
      </c>
      <c r="E437" s="3" t="s">
        <v>157</v>
      </c>
      <c r="F437" s="3" t="s">
        <v>130</v>
      </c>
    </row>
    <row r="438" spans="1:6" ht="15.6" x14ac:dyDescent="0.3">
      <c r="A438" s="6" t="s">
        <v>465</v>
      </c>
      <c r="B438" s="6" t="s">
        <v>810</v>
      </c>
      <c r="C438" s="2">
        <f>DATE(2025,6,18)+TIME(8,43,58)</f>
        <v>45826.363865740743</v>
      </c>
      <c r="D438" s="1" t="s">
        <v>7</v>
      </c>
      <c r="E438" s="1" t="s">
        <v>758</v>
      </c>
      <c r="F438" s="1" t="s">
        <v>4</v>
      </c>
    </row>
    <row r="439" spans="1:6" ht="31.2" x14ac:dyDescent="0.3">
      <c r="A439" s="6" t="s">
        <v>811</v>
      </c>
      <c r="B439" s="6" t="s">
        <v>812</v>
      </c>
      <c r="C439" s="4">
        <f>DATE(2025,6,17)+TIME(15,10,3)</f>
        <v>45825.631979166668</v>
      </c>
      <c r="D439" s="3" t="s">
        <v>2</v>
      </c>
      <c r="E439" s="3" t="s">
        <v>238</v>
      </c>
      <c r="F439" s="3" t="s">
        <v>4</v>
      </c>
    </row>
    <row r="440" spans="1:6" ht="15.6" x14ac:dyDescent="0.3">
      <c r="A440" s="6" t="s">
        <v>813</v>
      </c>
      <c r="B440" s="6" t="s">
        <v>814</v>
      </c>
      <c r="C440" s="2">
        <f>DATE(2025,6,17)+TIME(14,56,1)</f>
        <v>45825.622233796297</v>
      </c>
      <c r="D440" s="1" t="s">
        <v>2</v>
      </c>
      <c r="E440" s="1" t="s">
        <v>198</v>
      </c>
      <c r="F440" s="1" t="s">
        <v>19</v>
      </c>
    </row>
    <row r="441" spans="1:6" ht="31.2" x14ac:dyDescent="0.3">
      <c r="A441" s="6" t="s">
        <v>815</v>
      </c>
      <c r="B441" s="6" t="s">
        <v>816</v>
      </c>
      <c r="C441" s="4">
        <f>DATE(2025,6,17)+TIME(13,41,43)</f>
        <v>45825.570636574077</v>
      </c>
      <c r="D441" s="3" t="s">
        <v>11</v>
      </c>
      <c r="E441" s="3" t="s">
        <v>723</v>
      </c>
      <c r="F441" s="3" t="s">
        <v>24</v>
      </c>
    </row>
    <row r="442" spans="1:6" ht="31.2" x14ac:dyDescent="0.3">
      <c r="A442" s="6" t="s">
        <v>817</v>
      </c>
      <c r="B442" s="6" t="s">
        <v>818</v>
      </c>
      <c r="C442" s="2">
        <f>DATE(2025,6,17)+TIME(12,58,15)</f>
        <v>45825.540451388886</v>
      </c>
      <c r="D442" s="1" t="s">
        <v>11</v>
      </c>
      <c r="E442" s="1" t="s">
        <v>723</v>
      </c>
      <c r="F442" s="1" t="s">
        <v>24</v>
      </c>
    </row>
    <row r="443" spans="1:6" ht="31.2" x14ac:dyDescent="0.3">
      <c r="A443" s="6" t="s">
        <v>391</v>
      </c>
      <c r="B443" s="6" t="s">
        <v>819</v>
      </c>
      <c r="C443" s="4">
        <f>DATE(2025,6,17)+TIME(10,32,4)</f>
        <v>45825.438935185186</v>
      </c>
      <c r="D443" s="3" t="s">
        <v>2</v>
      </c>
      <c r="E443" s="3" t="s">
        <v>238</v>
      </c>
      <c r="F443" s="3" t="s">
        <v>76</v>
      </c>
    </row>
    <row r="444" spans="1:6" ht="15.6" x14ac:dyDescent="0.3">
      <c r="A444" s="6" t="s">
        <v>541</v>
      </c>
      <c r="B444" s="6" t="s">
        <v>820</v>
      </c>
      <c r="C444" s="2">
        <f>DATE(2025,6,17)+TIME(8,53,45)</f>
        <v>45825.370659722219</v>
      </c>
      <c r="D444" s="1" t="s">
        <v>72</v>
      </c>
      <c r="E444" s="1" t="s">
        <v>572</v>
      </c>
      <c r="F444" s="1" t="s">
        <v>4</v>
      </c>
    </row>
    <row r="445" spans="1:6" ht="15.6" x14ac:dyDescent="0.3">
      <c r="A445" s="6" t="s">
        <v>762</v>
      </c>
      <c r="B445" s="6" t="s">
        <v>821</v>
      </c>
      <c r="C445" s="4">
        <f>DATE(2025,6,16)+TIME(15,29,31)</f>
        <v>45824.645497685182</v>
      </c>
      <c r="D445" s="3" t="s">
        <v>7</v>
      </c>
      <c r="E445" s="3" t="s">
        <v>157</v>
      </c>
      <c r="F445" s="3" t="s">
        <v>172</v>
      </c>
    </row>
    <row r="446" spans="1:6" ht="15.6" x14ac:dyDescent="0.3">
      <c r="A446" s="6" t="s">
        <v>822</v>
      </c>
      <c r="B446" s="6" t="s">
        <v>276</v>
      </c>
      <c r="C446" s="2">
        <f>DATE(2025,6,16)+TIME(15,28,56)</f>
        <v>45824.645092592589</v>
      </c>
      <c r="D446" s="1" t="s">
        <v>7</v>
      </c>
      <c r="E446" s="1" t="s">
        <v>758</v>
      </c>
      <c r="F446" s="1" t="s">
        <v>84</v>
      </c>
    </row>
    <row r="447" spans="1:6" ht="15.6" x14ac:dyDescent="0.3">
      <c r="A447" s="6" t="s">
        <v>319</v>
      </c>
      <c r="B447" s="6" t="s">
        <v>823</v>
      </c>
      <c r="C447" s="4">
        <f>DATE(2025,6,16)+TIME(15,28,46)</f>
        <v>45824.644976851851</v>
      </c>
      <c r="D447" s="3" t="s">
        <v>7</v>
      </c>
      <c r="E447" s="3" t="s">
        <v>157</v>
      </c>
      <c r="F447" s="3" t="s">
        <v>154</v>
      </c>
    </row>
    <row r="448" spans="1:6" ht="31.2" x14ac:dyDescent="0.3">
      <c r="A448" s="6" t="s">
        <v>824</v>
      </c>
      <c r="B448" s="6" t="s">
        <v>825</v>
      </c>
      <c r="C448" s="2">
        <f>DATE(2025,6,16)+TIME(14,4,3)</f>
        <v>45824.586145833331</v>
      </c>
      <c r="D448" s="1" t="s">
        <v>60</v>
      </c>
      <c r="E448" s="1" t="s">
        <v>83</v>
      </c>
      <c r="F448" s="1" t="s">
        <v>57</v>
      </c>
    </row>
    <row r="449" spans="1:6" ht="15.6" x14ac:dyDescent="0.3">
      <c r="A449" s="6" t="s">
        <v>826</v>
      </c>
      <c r="B449" s="6" t="s">
        <v>827</v>
      </c>
      <c r="C449" s="4">
        <f>DATE(2025,6,16)+TIME(13,57,37)</f>
        <v>45824.581678240742</v>
      </c>
      <c r="D449" s="3" t="s">
        <v>72</v>
      </c>
      <c r="E449" s="3" t="s">
        <v>572</v>
      </c>
      <c r="F449" s="3" t="s">
        <v>84</v>
      </c>
    </row>
    <row r="450" spans="1:6" ht="31.2" x14ac:dyDescent="0.3">
      <c r="A450" s="6" t="s">
        <v>680</v>
      </c>
      <c r="B450" s="6" t="s">
        <v>828</v>
      </c>
      <c r="C450" s="2">
        <f>DATE(2025,6,16)+TIME(11,12,26)</f>
        <v>45824.466967592591</v>
      </c>
      <c r="D450" s="1" t="s">
        <v>17</v>
      </c>
      <c r="E450" s="1" t="s">
        <v>607</v>
      </c>
      <c r="F450" s="1" t="s">
        <v>84</v>
      </c>
    </row>
    <row r="451" spans="1:6" ht="31.2" x14ac:dyDescent="0.3">
      <c r="A451" s="6" t="s">
        <v>271</v>
      </c>
      <c r="B451" s="6" t="s">
        <v>829</v>
      </c>
      <c r="C451" s="4">
        <f>DATE(2025,6,14)+TIME(15,11,41)</f>
        <v>45822.633113425924</v>
      </c>
      <c r="D451" s="3" t="s">
        <v>11</v>
      </c>
      <c r="E451" s="3" t="s">
        <v>723</v>
      </c>
      <c r="F451" s="3" t="s">
        <v>4</v>
      </c>
    </row>
    <row r="452" spans="1:6" ht="15.6" x14ac:dyDescent="0.3">
      <c r="A452" s="6" t="s">
        <v>830</v>
      </c>
      <c r="B452" s="6" t="s">
        <v>831</v>
      </c>
      <c r="C452" s="2">
        <f>DATE(2025,6,13)+TIME(16,7,26)</f>
        <v>45821.6718287037</v>
      </c>
      <c r="D452" s="1" t="s">
        <v>7</v>
      </c>
      <c r="E452" s="1" t="s">
        <v>8</v>
      </c>
      <c r="F452" s="1" t="s">
        <v>66</v>
      </c>
    </row>
    <row r="453" spans="1:6" ht="31.2" x14ac:dyDescent="0.3">
      <c r="A453" s="6" t="s">
        <v>54</v>
      </c>
      <c r="B453" s="6" t="s">
        <v>832</v>
      </c>
      <c r="C453" s="4">
        <f>DATE(2025,6,13)+TIME(14,46,53)</f>
        <v>45821.615891203706</v>
      </c>
      <c r="D453" s="3" t="s">
        <v>17</v>
      </c>
      <c r="E453" s="3" t="s">
        <v>607</v>
      </c>
      <c r="F453" s="3" t="s">
        <v>4</v>
      </c>
    </row>
    <row r="454" spans="1:6" ht="31.2" x14ac:dyDescent="0.3">
      <c r="A454" s="6" t="s">
        <v>279</v>
      </c>
      <c r="B454" s="6" t="s">
        <v>833</v>
      </c>
      <c r="C454" s="2">
        <f>DATE(2025,6,13)+TIME(13,39,16)</f>
        <v>45821.568935185183</v>
      </c>
      <c r="D454" s="1" t="s">
        <v>17</v>
      </c>
      <c r="E454" s="1" t="s">
        <v>607</v>
      </c>
      <c r="F454" s="1" t="s">
        <v>4</v>
      </c>
    </row>
    <row r="455" spans="1:6" ht="31.2" x14ac:dyDescent="0.3">
      <c r="A455" s="6" t="s">
        <v>0</v>
      </c>
      <c r="B455" s="6" t="s">
        <v>834</v>
      </c>
      <c r="C455" s="4">
        <f>DATE(2025,6,13)+TIME(13,25,52)</f>
        <v>45821.559629629628</v>
      </c>
      <c r="D455" s="3" t="s">
        <v>17</v>
      </c>
      <c r="E455" s="3" t="s">
        <v>607</v>
      </c>
      <c r="F455" s="3" t="s">
        <v>66</v>
      </c>
    </row>
    <row r="456" spans="1:6" ht="15.6" x14ac:dyDescent="0.3">
      <c r="A456" s="6" t="s">
        <v>224</v>
      </c>
      <c r="B456" s="6" t="s">
        <v>835</v>
      </c>
      <c r="C456" s="2">
        <f>DATE(2025,6,13)+TIME(12,53,12)</f>
        <v>45821.536944444444</v>
      </c>
      <c r="D456" s="1" t="s">
        <v>7</v>
      </c>
      <c r="E456" s="1" t="s">
        <v>836</v>
      </c>
      <c r="F456" s="1" t="s">
        <v>130</v>
      </c>
    </row>
    <row r="457" spans="1:6" ht="31.2" x14ac:dyDescent="0.3">
      <c r="A457" s="6" t="s">
        <v>837</v>
      </c>
      <c r="B457" s="6" t="s">
        <v>838</v>
      </c>
      <c r="C457" s="4">
        <f>DATE(2025,6,13)+TIME(12,40,16)</f>
        <v>45821.527962962966</v>
      </c>
      <c r="D457" s="3" t="s">
        <v>17</v>
      </c>
      <c r="E457" s="3" t="s">
        <v>607</v>
      </c>
      <c r="F457" s="3" t="s">
        <v>4</v>
      </c>
    </row>
    <row r="458" spans="1:6" ht="31.2" x14ac:dyDescent="0.3">
      <c r="A458" s="6" t="s">
        <v>415</v>
      </c>
      <c r="B458" s="6" t="s">
        <v>839</v>
      </c>
      <c r="C458" s="2">
        <f>DATE(2025,6,13)+TIME(12,20,55)</f>
        <v>45821.514525462961</v>
      </c>
      <c r="D458" s="1" t="s">
        <v>17</v>
      </c>
      <c r="E458" s="1" t="s">
        <v>607</v>
      </c>
      <c r="F458" s="1" t="s">
        <v>4</v>
      </c>
    </row>
    <row r="459" spans="1:6" ht="31.2" x14ac:dyDescent="0.3">
      <c r="A459" s="6" t="s">
        <v>361</v>
      </c>
      <c r="B459" s="6" t="s">
        <v>840</v>
      </c>
      <c r="C459" s="4">
        <f>DATE(2025,6,13)+TIME(11,54,33)</f>
        <v>45821.496215277781</v>
      </c>
      <c r="D459" s="3" t="s">
        <v>17</v>
      </c>
      <c r="E459" s="3" t="s">
        <v>607</v>
      </c>
      <c r="F459" s="3" t="s">
        <v>19</v>
      </c>
    </row>
    <row r="460" spans="1:6" ht="31.2" x14ac:dyDescent="0.3">
      <c r="A460" s="6" t="s">
        <v>841</v>
      </c>
      <c r="B460" s="6" t="s">
        <v>842</v>
      </c>
      <c r="C460" s="2">
        <f>DATE(2025,6,13)+TIME(11,30,21)</f>
        <v>45821.479409722226</v>
      </c>
      <c r="D460" s="1" t="s">
        <v>17</v>
      </c>
      <c r="E460" s="1" t="s">
        <v>607</v>
      </c>
      <c r="F460" s="1" t="s">
        <v>172</v>
      </c>
    </row>
    <row r="461" spans="1:6" ht="31.2" x14ac:dyDescent="0.3">
      <c r="A461" s="6" t="s">
        <v>652</v>
      </c>
      <c r="B461" s="6" t="s">
        <v>843</v>
      </c>
      <c r="C461" s="4">
        <f>DATE(2025,6,13)+TIME(11,27,48)</f>
        <v>45821.477638888886</v>
      </c>
      <c r="D461" s="3" t="s">
        <v>17</v>
      </c>
      <c r="E461" s="3" t="s">
        <v>607</v>
      </c>
      <c r="F461" s="3" t="s">
        <v>4</v>
      </c>
    </row>
    <row r="462" spans="1:6" ht="15.6" x14ac:dyDescent="0.3">
      <c r="A462" s="6" t="s">
        <v>654</v>
      </c>
      <c r="B462" s="6" t="s">
        <v>844</v>
      </c>
      <c r="C462" s="2">
        <f>DATE(2025,6,13)+TIME(11,27,26)</f>
        <v>45821.477384259262</v>
      </c>
      <c r="D462" s="1" t="s">
        <v>7</v>
      </c>
      <c r="E462" s="1" t="s">
        <v>836</v>
      </c>
      <c r="F462" s="1" t="s">
        <v>154</v>
      </c>
    </row>
    <row r="463" spans="1:6" ht="31.2" x14ac:dyDescent="0.3">
      <c r="A463" s="6" t="s">
        <v>845</v>
      </c>
      <c r="B463" s="6" t="s">
        <v>846</v>
      </c>
      <c r="C463" s="4">
        <f>DATE(2025,6,13)+TIME(11,22,6)</f>
        <v>45821.473680555559</v>
      </c>
      <c r="D463" s="3" t="s">
        <v>17</v>
      </c>
      <c r="E463" s="3" t="s">
        <v>607</v>
      </c>
      <c r="F463" s="3" t="s">
        <v>172</v>
      </c>
    </row>
    <row r="464" spans="1:6" ht="31.2" x14ac:dyDescent="0.3">
      <c r="A464" s="6" t="s">
        <v>108</v>
      </c>
      <c r="B464" s="6" t="s">
        <v>847</v>
      </c>
      <c r="C464" s="2">
        <f>DATE(2025,6,13)+TIME(11,20,35)</f>
        <v>45821.472627314812</v>
      </c>
      <c r="D464" s="1" t="s">
        <v>11</v>
      </c>
      <c r="E464" s="1" t="s">
        <v>12</v>
      </c>
      <c r="F464" s="1" t="s">
        <v>84</v>
      </c>
    </row>
    <row r="465" spans="1:6" ht="15.6" x14ac:dyDescent="0.3">
      <c r="A465" s="6" t="s">
        <v>38</v>
      </c>
      <c r="B465" s="6" t="s">
        <v>848</v>
      </c>
      <c r="C465" s="4">
        <f>DATE(2025,6,13)+TIME(10,44,29)</f>
        <v>45821.447557870371</v>
      </c>
      <c r="D465" s="3" t="s">
        <v>60</v>
      </c>
      <c r="E465" s="3" t="s">
        <v>83</v>
      </c>
      <c r="F465" s="3" t="s">
        <v>4</v>
      </c>
    </row>
    <row r="466" spans="1:6" ht="15.6" x14ac:dyDescent="0.3">
      <c r="A466" s="6" t="s">
        <v>193</v>
      </c>
      <c r="B466" s="6" t="s">
        <v>849</v>
      </c>
      <c r="C466" s="2">
        <f>DATE(2025,6,13)+TIME(10,29,20)</f>
        <v>45821.437037037038</v>
      </c>
      <c r="D466" s="1" t="s">
        <v>60</v>
      </c>
      <c r="E466" s="1" t="s">
        <v>83</v>
      </c>
      <c r="F466" s="1" t="s">
        <v>130</v>
      </c>
    </row>
    <row r="467" spans="1:6" ht="15.6" x14ac:dyDescent="0.3">
      <c r="A467" s="6" t="s">
        <v>850</v>
      </c>
      <c r="B467" s="6" t="s">
        <v>484</v>
      </c>
      <c r="C467" s="4">
        <f>DATE(2025,6,13)+TIME(8,50,29)</f>
        <v>45821.368391203701</v>
      </c>
      <c r="D467" s="3" t="s">
        <v>90</v>
      </c>
      <c r="E467" s="3" t="s">
        <v>687</v>
      </c>
      <c r="F467" s="3" t="s">
        <v>4</v>
      </c>
    </row>
    <row r="468" spans="1:6" ht="31.2" x14ac:dyDescent="0.3">
      <c r="A468" s="6" t="s">
        <v>234</v>
      </c>
      <c r="B468" s="6" t="s">
        <v>851</v>
      </c>
      <c r="C468" s="2">
        <f>DATE(2025,6,13)+TIME(8,13,23)</f>
        <v>45821.342627314814</v>
      </c>
      <c r="D468" s="1" t="s">
        <v>11</v>
      </c>
      <c r="E468" s="1" t="s">
        <v>723</v>
      </c>
      <c r="F468" s="1" t="s">
        <v>76</v>
      </c>
    </row>
    <row r="469" spans="1:6" ht="31.2" x14ac:dyDescent="0.3">
      <c r="A469" s="6" t="s">
        <v>104</v>
      </c>
      <c r="B469" s="6" t="s">
        <v>852</v>
      </c>
      <c r="C469" s="4">
        <f>DATE(2025,6,13)+TIME(7,10,16)</f>
        <v>45821.298796296294</v>
      </c>
      <c r="D469" s="3" t="s">
        <v>11</v>
      </c>
      <c r="E469" s="3" t="s">
        <v>723</v>
      </c>
      <c r="F469" s="3" t="s">
        <v>4</v>
      </c>
    </row>
    <row r="470" spans="1:6" ht="31.2" x14ac:dyDescent="0.3">
      <c r="A470" s="6" t="s">
        <v>853</v>
      </c>
      <c r="B470" s="6" t="s">
        <v>854</v>
      </c>
      <c r="C470" s="2">
        <f>DATE(2025,6,13)+TIME(7,9,55)</f>
        <v>45821.29855324074</v>
      </c>
      <c r="D470" s="1" t="s">
        <v>11</v>
      </c>
      <c r="E470" s="1" t="s">
        <v>723</v>
      </c>
      <c r="F470" s="1" t="s">
        <v>4</v>
      </c>
    </row>
    <row r="471" spans="1:6" ht="31.2" x14ac:dyDescent="0.3">
      <c r="A471" s="6" t="s">
        <v>391</v>
      </c>
      <c r="B471" s="6" t="s">
        <v>855</v>
      </c>
      <c r="C471" s="4">
        <f>DATE(2025,6,13)+TIME(7,8,26)</f>
        <v>45821.297523148147</v>
      </c>
      <c r="D471" s="3" t="s">
        <v>11</v>
      </c>
      <c r="E471" s="3" t="s">
        <v>723</v>
      </c>
      <c r="F471" s="3" t="s">
        <v>112</v>
      </c>
    </row>
    <row r="472" spans="1:6" ht="31.2" x14ac:dyDescent="0.3">
      <c r="A472" s="6" t="s">
        <v>856</v>
      </c>
      <c r="B472" s="6" t="s">
        <v>857</v>
      </c>
      <c r="C472" s="2">
        <f>DATE(2025,6,13)+TIME(6,59,11)</f>
        <v>45821.29109953704</v>
      </c>
      <c r="D472" s="1" t="s">
        <v>11</v>
      </c>
      <c r="E472" s="1" t="s">
        <v>723</v>
      </c>
      <c r="F472" s="1" t="s">
        <v>19</v>
      </c>
    </row>
    <row r="473" spans="1:6" ht="31.2" x14ac:dyDescent="0.3">
      <c r="A473" s="6" t="s">
        <v>269</v>
      </c>
      <c r="B473" s="6" t="s">
        <v>764</v>
      </c>
      <c r="C473" s="4">
        <f>DATE(2025,6,13)+TIME(6,57,45)</f>
        <v>45821.29010416667</v>
      </c>
      <c r="D473" s="3" t="s">
        <v>11</v>
      </c>
      <c r="E473" s="3" t="s">
        <v>723</v>
      </c>
      <c r="F473" s="3" t="s">
        <v>4</v>
      </c>
    </row>
    <row r="474" spans="1:6" ht="31.2" x14ac:dyDescent="0.3">
      <c r="A474" s="6" t="s">
        <v>858</v>
      </c>
      <c r="B474" s="6" t="s">
        <v>859</v>
      </c>
      <c r="C474" s="2">
        <f>DATE(2025,6,13)+TIME(6,57,37)</f>
        <v>45821.290011574078</v>
      </c>
      <c r="D474" s="1" t="s">
        <v>11</v>
      </c>
      <c r="E474" s="1" t="s">
        <v>723</v>
      </c>
      <c r="F474" s="1" t="s">
        <v>4</v>
      </c>
    </row>
    <row r="475" spans="1:6" ht="31.2" x14ac:dyDescent="0.3">
      <c r="A475" s="6" t="s">
        <v>860</v>
      </c>
      <c r="B475" s="6" t="s">
        <v>861</v>
      </c>
      <c r="C475" s="4">
        <f>DATE(2025,6,13)+TIME(6,57,14)</f>
        <v>45821.28974537037</v>
      </c>
      <c r="D475" s="3" t="s">
        <v>11</v>
      </c>
      <c r="E475" s="3" t="s">
        <v>723</v>
      </c>
      <c r="F475" s="3" t="s">
        <v>84</v>
      </c>
    </row>
    <row r="476" spans="1:6" ht="31.2" x14ac:dyDescent="0.3">
      <c r="A476" s="6" t="s">
        <v>290</v>
      </c>
      <c r="B476" s="6" t="s">
        <v>862</v>
      </c>
      <c r="C476" s="2">
        <f>DATE(2025,6,13)+TIME(6,56,48)</f>
        <v>45821.289444444446</v>
      </c>
      <c r="D476" s="1" t="s">
        <v>11</v>
      </c>
      <c r="E476" s="1" t="s">
        <v>723</v>
      </c>
      <c r="F476" s="1" t="s">
        <v>4</v>
      </c>
    </row>
    <row r="477" spans="1:6" ht="31.2" x14ac:dyDescent="0.3">
      <c r="A477" s="6" t="s">
        <v>863</v>
      </c>
      <c r="B477" s="6" t="s">
        <v>864</v>
      </c>
      <c r="C477" s="4">
        <f>DATE(2025,6,13)+TIME(6,56,44)</f>
        <v>45821.289398148147</v>
      </c>
      <c r="D477" s="3" t="s">
        <v>11</v>
      </c>
      <c r="E477" s="3" t="s">
        <v>723</v>
      </c>
      <c r="F477" s="3" t="s">
        <v>24</v>
      </c>
    </row>
    <row r="478" spans="1:6" ht="31.2" x14ac:dyDescent="0.3">
      <c r="A478" s="6" t="s">
        <v>865</v>
      </c>
      <c r="B478" s="6" t="s">
        <v>866</v>
      </c>
      <c r="C478" s="2">
        <f>DATE(2025,6,13)+TIME(6,55,57)</f>
        <v>45821.288854166669</v>
      </c>
      <c r="D478" s="1" t="s">
        <v>11</v>
      </c>
      <c r="E478" s="1" t="s">
        <v>723</v>
      </c>
      <c r="F478" s="1" t="s">
        <v>4</v>
      </c>
    </row>
    <row r="479" spans="1:6" ht="31.2" x14ac:dyDescent="0.3">
      <c r="A479" s="6" t="s">
        <v>867</v>
      </c>
      <c r="B479" s="6" t="s">
        <v>868</v>
      </c>
      <c r="C479" s="4">
        <f>DATE(2025,6,13)+TIME(6,55,42)</f>
        <v>45821.288680555554</v>
      </c>
      <c r="D479" s="3" t="s">
        <v>11</v>
      </c>
      <c r="E479" s="3" t="s">
        <v>723</v>
      </c>
      <c r="F479" s="3" t="s">
        <v>4</v>
      </c>
    </row>
    <row r="480" spans="1:6" ht="31.2" x14ac:dyDescent="0.3">
      <c r="A480" s="6" t="s">
        <v>326</v>
      </c>
      <c r="B480" s="6" t="s">
        <v>869</v>
      </c>
      <c r="C480" s="2">
        <f>DATE(2025,6,13)+TIME(6,55,34)</f>
        <v>45821.288587962961</v>
      </c>
      <c r="D480" s="1" t="s">
        <v>11</v>
      </c>
      <c r="E480" s="1" t="s">
        <v>723</v>
      </c>
      <c r="F480" s="1" t="s">
        <v>199</v>
      </c>
    </row>
    <row r="481" spans="1:6" ht="31.2" x14ac:dyDescent="0.3">
      <c r="A481" s="6" t="s">
        <v>292</v>
      </c>
      <c r="B481" s="6" t="s">
        <v>859</v>
      </c>
      <c r="C481" s="4">
        <f>DATE(2025,6,13)+TIME(6,55,19)</f>
        <v>45821.288414351853</v>
      </c>
      <c r="D481" s="3" t="s">
        <v>11</v>
      </c>
      <c r="E481" s="3" t="s">
        <v>723</v>
      </c>
      <c r="F481" s="3" t="s">
        <v>172</v>
      </c>
    </row>
    <row r="482" spans="1:6" ht="15.6" x14ac:dyDescent="0.3">
      <c r="A482" s="6" t="s">
        <v>870</v>
      </c>
      <c r="B482" s="6" t="s">
        <v>291</v>
      </c>
      <c r="C482" s="2">
        <f>DATE(2025,6,12)+TIME(16,49,45)</f>
        <v>45820.701215277775</v>
      </c>
      <c r="D482" s="1" t="s">
        <v>60</v>
      </c>
      <c r="E482" s="1" t="s">
        <v>83</v>
      </c>
      <c r="F482" s="1" t="s">
        <v>24</v>
      </c>
    </row>
    <row r="483" spans="1:6" ht="15.6" x14ac:dyDescent="0.3">
      <c r="A483" s="6" t="s">
        <v>871</v>
      </c>
      <c r="B483" s="6" t="s">
        <v>872</v>
      </c>
      <c r="C483" s="4">
        <f>DATE(2025,6,12)+TIME(16,37,24)</f>
        <v>45820.69263888889</v>
      </c>
      <c r="D483" s="3" t="s">
        <v>60</v>
      </c>
      <c r="E483" s="3" t="s">
        <v>83</v>
      </c>
      <c r="F483" s="3" t="s">
        <v>4</v>
      </c>
    </row>
    <row r="484" spans="1:6" ht="15.6" x14ac:dyDescent="0.3">
      <c r="A484" s="6" t="s">
        <v>873</v>
      </c>
      <c r="B484" s="6" t="s">
        <v>874</v>
      </c>
      <c r="C484" s="2">
        <f>DATE(2025,6,12)+TIME(16,19,35)</f>
        <v>45820.680266203701</v>
      </c>
      <c r="D484" s="1" t="s">
        <v>60</v>
      </c>
      <c r="E484" s="1" t="s">
        <v>83</v>
      </c>
      <c r="F484" s="1" t="s">
        <v>4</v>
      </c>
    </row>
    <row r="485" spans="1:6" ht="15.6" x14ac:dyDescent="0.3">
      <c r="A485" s="6" t="s">
        <v>38</v>
      </c>
      <c r="B485" s="6" t="s">
        <v>875</v>
      </c>
      <c r="C485" s="4">
        <f>DATE(2025,6,12)+TIME(15,49,28)</f>
        <v>45820.659351851849</v>
      </c>
      <c r="D485" s="3" t="s">
        <v>60</v>
      </c>
      <c r="E485" s="3" t="s">
        <v>83</v>
      </c>
      <c r="F485" s="3" t="s">
        <v>4</v>
      </c>
    </row>
    <row r="486" spans="1:6" ht="15.6" x14ac:dyDescent="0.3">
      <c r="A486" s="6" t="s">
        <v>876</v>
      </c>
      <c r="B486" s="6" t="s">
        <v>877</v>
      </c>
      <c r="C486" s="2">
        <f>DATE(2025,6,12)+TIME(15,44,47)</f>
        <v>45820.656099537038</v>
      </c>
      <c r="D486" s="1" t="s">
        <v>60</v>
      </c>
      <c r="E486" s="1" t="s">
        <v>83</v>
      </c>
      <c r="F486" s="1" t="s">
        <v>4</v>
      </c>
    </row>
    <row r="487" spans="1:6" ht="15.6" x14ac:dyDescent="0.3">
      <c r="A487" s="6" t="s">
        <v>77</v>
      </c>
      <c r="B487" s="6" t="s">
        <v>111</v>
      </c>
      <c r="C487" s="4">
        <f>DATE(2025,6,12)+TIME(15,40,49)</f>
        <v>45820.653344907405</v>
      </c>
      <c r="D487" s="3" t="s">
        <v>90</v>
      </c>
      <c r="E487" s="3" t="s">
        <v>687</v>
      </c>
      <c r="F487" s="3" t="s">
        <v>172</v>
      </c>
    </row>
    <row r="488" spans="1:6" ht="15.6" x14ac:dyDescent="0.3">
      <c r="A488" s="6" t="s">
        <v>391</v>
      </c>
      <c r="B488" s="6" t="s">
        <v>878</v>
      </c>
      <c r="C488" s="2">
        <f>DATE(2025,6,12)+TIME(15,31,57)</f>
        <v>45820.647187499999</v>
      </c>
      <c r="D488" s="1" t="s">
        <v>60</v>
      </c>
      <c r="E488" s="1" t="s">
        <v>83</v>
      </c>
      <c r="F488" s="1" t="s">
        <v>154</v>
      </c>
    </row>
    <row r="489" spans="1:6" ht="15.6" x14ac:dyDescent="0.3">
      <c r="A489" s="6" t="s">
        <v>327</v>
      </c>
      <c r="B489" s="6" t="s">
        <v>879</v>
      </c>
      <c r="C489" s="4">
        <f>DATE(2025,6,12)+TIME(11,5,32)</f>
        <v>45820.462175925924</v>
      </c>
      <c r="D489" s="3" t="s">
        <v>17</v>
      </c>
      <c r="E489" s="3" t="s">
        <v>693</v>
      </c>
      <c r="F489" s="3" t="s">
        <v>4</v>
      </c>
    </row>
    <row r="490" spans="1:6" ht="15.6" x14ac:dyDescent="0.3">
      <c r="A490" s="6" t="s">
        <v>880</v>
      </c>
      <c r="B490" s="6" t="s">
        <v>448</v>
      </c>
      <c r="C490" s="2">
        <f>DATE(2025,6,11)+TIME(13,41,5)</f>
        <v>45819.570196759261</v>
      </c>
      <c r="D490" s="1" t="s">
        <v>90</v>
      </c>
      <c r="E490" s="1" t="s">
        <v>687</v>
      </c>
      <c r="F490" s="1" t="s">
        <v>4</v>
      </c>
    </row>
    <row r="491" spans="1:6" ht="15.6" x14ac:dyDescent="0.3">
      <c r="A491" s="6" t="s">
        <v>372</v>
      </c>
      <c r="B491" s="6" t="s">
        <v>881</v>
      </c>
      <c r="C491" s="4">
        <f>DATE(2025,6,11)+TIME(13,29,54)</f>
        <v>45819.562430555554</v>
      </c>
      <c r="D491" s="3" t="s">
        <v>60</v>
      </c>
      <c r="E491" s="3" t="s">
        <v>882</v>
      </c>
      <c r="F491" s="3" t="s">
        <v>154</v>
      </c>
    </row>
    <row r="492" spans="1:6" ht="15.6" x14ac:dyDescent="0.3">
      <c r="A492" s="6" t="s">
        <v>5</v>
      </c>
      <c r="B492" s="6" t="s">
        <v>883</v>
      </c>
      <c r="C492" s="2">
        <f>DATE(2025,6,11)+TIME(13,6,52)</f>
        <v>45819.546435185184</v>
      </c>
      <c r="D492" s="1" t="s">
        <v>90</v>
      </c>
      <c r="E492" s="1" t="s">
        <v>687</v>
      </c>
      <c r="F492" s="1" t="s">
        <v>66</v>
      </c>
    </row>
    <row r="493" spans="1:6" ht="15.6" x14ac:dyDescent="0.3">
      <c r="A493" s="6" t="s">
        <v>67</v>
      </c>
      <c r="B493" s="6" t="s">
        <v>884</v>
      </c>
      <c r="C493" s="4">
        <f>DATE(2025,6,11)+TIME(12,49,32)</f>
        <v>45819.534398148149</v>
      </c>
      <c r="D493" s="3" t="s">
        <v>22</v>
      </c>
      <c r="E493" s="3" t="s">
        <v>69</v>
      </c>
      <c r="F493" s="3" t="s">
        <v>112</v>
      </c>
    </row>
    <row r="494" spans="1:6" ht="15.6" x14ac:dyDescent="0.3">
      <c r="A494" s="6" t="s">
        <v>326</v>
      </c>
      <c r="B494" s="6" t="s">
        <v>885</v>
      </c>
      <c r="C494" s="2">
        <f>DATE(2025,6,11)+TIME(12,39,46)</f>
        <v>45819.527615740742</v>
      </c>
      <c r="D494" s="1" t="s">
        <v>2</v>
      </c>
      <c r="E494" s="1" t="s">
        <v>198</v>
      </c>
      <c r="F494" s="1" t="s">
        <v>4</v>
      </c>
    </row>
    <row r="495" spans="1:6" ht="15.6" x14ac:dyDescent="0.3">
      <c r="A495" s="6" t="s">
        <v>886</v>
      </c>
      <c r="B495" s="6" t="s">
        <v>887</v>
      </c>
      <c r="C495" s="4">
        <f>DATE(2025,6,11)+TIME(9,48,44)</f>
        <v>45819.408842592595</v>
      </c>
      <c r="D495" s="3" t="s">
        <v>60</v>
      </c>
      <c r="E495" s="3" t="s">
        <v>882</v>
      </c>
      <c r="F495" s="3" t="s">
        <v>130</v>
      </c>
    </row>
    <row r="496" spans="1:6" ht="15.6" x14ac:dyDescent="0.3">
      <c r="A496" s="6" t="s">
        <v>888</v>
      </c>
      <c r="B496" s="6" t="s">
        <v>889</v>
      </c>
      <c r="C496" s="2">
        <f>DATE(2025,6,11)+TIME(9,47,29)</f>
        <v>45819.40797453704</v>
      </c>
      <c r="D496" s="1" t="s">
        <v>60</v>
      </c>
      <c r="E496" s="1" t="s">
        <v>882</v>
      </c>
      <c r="F496" s="1" t="s">
        <v>84</v>
      </c>
    </row>
    <row r="497" spans="1:6" ht="15.6" x14ac:dyDescent="0.3">
      <c r="A497" s="6" t="s">
        <v>890</v>
      </c>
      <c r="B497" s="6" t="s">
        <v>891</v>
      </c>
      <c r="C497" s="4">
        <f>DATE(2025,6,11)+TIME(8,6,31)</f>
        <v>45819.337858796294</v>
      </c>
      <c r="D497" s="3" t="s">
        <v>2</v>
      </c>
      <c r="E497" s="3" t="s">
        <v>198</v>
      </c>
      <c r="F497" s="3" t="s">
        <v>24</v>
      </c>
    </row>
    <row r="498" spans="1:6" ht="15.6" x14ac:dyDescent="0.3">
      <c r="A498" s="6" t="s">
        <v>892</v>
      </c>
      <c r="B498" s="6" t="s">
        <v>893</v>
      </c>
      <c r="C498" s="2">
        <f>DATE(2025,6,11)+TIME(7,55,0)</f>
        <v>45819.329861111109</v>
      </c>
      <c r="D498" s="1" t="s">
        <v>90</v>
      </c>
      <c r="E498" s="1" t="s">
        <v>687</v>
      </c>
      <c r="F498" s="1" t="s">
        <v>4</v>
      </c>
    </row>
    <row r="499" spans="1:6" ht="15.6" x14ac:dyDescent="0.3">
      <c r="A499" s="6" t="s">
        <v>25</v>
      </c>
      <c r="B499" s="6" t="s">
        <v>894</v>
      </c>
      <c r="C499" s="4">
        <f>DATE(2025,6,10)+TIME(18,29,33)</f>
        <v>45818.770520833335</v>
      </c>
      <c r="D499" s="3" t="s">
        <v>60</v>
      </c>
      <c r="E499" s="3" t="s">
        <v>882</v>
      </c>
      <c r="F499" s="3" t="s">
        <v>4</v>
      </c>
    </row>
    <row r="500" spans="1:6" ht="15.6" x14ac:dyDescent="0.3">
      <c r="A500" s="6" t="s">
        <v>79</v>
      </c>
      <c r="B500" s="6" t="s">
        <v>895</v>
      </c>
      <c r="C500" s="2">
        <f>DATE(2025,6,10)+TIME(15,30,30)</f>
        <v>45818.646180555559</v>
      </c>
      <c r="D500" s="1" t="s">
        <v>90</v>
      </c>
      <c r="E500" s="1" t="s">
        <v>687</v>
      </c>
      <c r="F500" s="1" t="s">
        <v>130</v>
      </c>
    </row>
    <row r="501" spans="1:6" ht="15.6" x14ac:dyDescent="0.3">
      <c r="A501" s="6" t="s">
        <v>275</v>
      </c>
      <c r="B501" s="6" t="s">
        <v>896</v>
      </c>
      <c r="C501" s="4">
        <f>DATE(2025,6,10)+TIME(15,20,1)</f>
        <v>45818.63890046296</v>
      </c>
      <c r="D501" s="3" t="s">
        <v>90</v>
      </c>
      <c r="E501" s="3" t="s">
        <v>687</v>
      </c>
      <c r="F501" s="3" t="s">
        <v>4</v>
      </c>
    </row>
    <row r="502" spans="1:6" ht="15.6" x14ac:dyDescent="0.3">
      <c r="A502" s="6" t="s">
        <v>897</v>
      </c>
      <c r="B502" s="6" t="s">
        <v>898</v>
      </c>
      <c r="C502" s="2">
        <f>DATE(2025,6,10)+TIME(15,14,45)</f>
        <v>45818.635243055556</v>
      </c>
      <c r="D502" s="1" t="s">
        <v>90</v>
      </c>
      <c r="E502" s="1" t="s">
        <v>687</v>
      </c>
      <c r="F502" s="1" t="s">
        <v>19</v>
      </c>
    </row>
    <row r="503" spans="1:6" ht="15.6" x14ac:dyDescent="0.3">
      <c r="A503" s="6" t="s">
        <v>899</v>
      </c>
      <c r="B503" s="6" t="s">
        <v>900</v>
      </c>
      <c r="C503" s="4">
        <f>DATE(2025,6,10)+TIME(15,12,36)</f>
        <v>45818.633750000001</v>
      </c>
      <c r="D503" s="3" t="s">
        <v>90</v>
      </c>
      <c r="E503" s="3" t="s">
        <v>687</v>
      </c>
      <c r="F503" s="3" t="s">
        <v>24</v>
      </c>
    </row>
    <row r="504" spans="1:6" ht="15.6" x14ac:dyDescent="0.3">
      <c r="A504" s="6" t="s">
        <v>743</v>
      </c>
      <c r="B504" s="6" t="s">
        <v>901</v>
      </c>
      <c r="C504" s="2">
        <f>DATE(2025,6,10)+TIME(15,2,50)</f>
        <v>45818.626967592594</v>
      </c>
      <c r="D504" s="1" t="s">
        <v>90</v>
      </c>
      <c r="E504" s="1" t="s">
        <v>687</v>
      </c>
      <c r="F504" s="1" t="s">
        <v>84</v>
      </c>
    </row>
    <row r="505" spans="1:6" ht="15.6" x14ac:dyDescent="0.3">
      <c r="A505" s="6" t="s">
        <v>902</v>
      </c>
      <c r="B505" s="6" t="s">
        <v>903</v>
      </c>
      <c r="C505" s="4">
        <f>DATE(2025,6,10)+TIME(12,28,25)</f>
        <v>45818.519733796296</v>
      </c>
      <c r="D505" s="3" t="s">
        <v>72</v>
      </c>
      <c r="E505" s="3" t="s">
        <v>572</v>
      </c>
      <c r="F505" s="3" t="s">
        <v>159</v>
      </c>
    </row>
    <row r="506" spans="1:6" ht="15.6" x14ac:dyDescent="0.3">
      <c r="A506" s="6" t="s">
        <v>904</v>
      </c>
      <c r="B506" s="6" t="s">
        <v>905</v>
      </c>
      <c r="C506" s="2">
        <f>DATE(2025,6,10)+TIME(12,27,51)</f>
        <v>45818.51934027778</v>
      </c>
      <c r="D506" s="1" t="s">
        <v>72</v>
      </c>
      <c r="E506" s="1" t="s">
        <v>572</v>
      </c>
      <c r="F506" s="1" t="s">
        <v>172</v>
      </c>
    </row>
    <row r="507" spans="1:6" ht="15.6" x14ac:dyDescent="0.3">
      <c r="A507" s="6" t="s">
        <v>906</v>
      </c>
      <c r="B507" s="6" t="s">
        <v>907</v>
      </c>
      <c r="C507" s="4">
        <f>DATE(2025,6,10)+TIME(12,20,53)</f>
        <v>45818.514502314814</v>
      </c>
      <c r="D507" s="3" t="s">
        <v>72</v>
      </c>
      <c r="E507" s="3" t="s">
        <v>572</v>
      </c>
      <c r="F507" s="3" t="s">
        <v>24</v>
      </c>
    </row>
    <row r="508" spans="1:6" ht="15.6" x14ac:dyDescent="0.3">
      <c r="A508" s="6" t="s">
        <v>764</v>
      </c>
      <c r="B508" s="6" t="s">
        <v>908</v>
      </c>
      <c r="C508" s="2">
        <f>DATE(2025,6,10)+TIME(12,6,45)</f>
        <v>45818.504687499997</v>
      </c>
      <c r="D508" s="1" t="s">
        <v>72</v>
      </c>
      <c r="E508" s="1" t="s">
        <v>572</v>
      </c>
      <c r="F508" s="1" t="s">
        <v>4</v>
      </c>
    </row>
    <row r="509" spans="1:6" ht="15.6" x14ac:dyDescent="0.3">
      <c r="A509" s="6" t="s">
        <v>909</v>
      </c>
      <c r="B509" s="6" t="s">
        <v>910</v>
      </c>
      <c r="C509" s="4">
        <f>DATE(2025,6,10)+TIME(11,26,53)</f>
        <v>45818.477002314816</v>
      </c>
      <c r="D509" s="3" t="s">
        <v>300</v>
      </c>
      <c r="E509" s="3" t="s">
        <v>572</v>
      </c>
      <c r="F509" s="3" t="s">
        <v>4</v>
      </c>
    </row>
    <row r="510" spans="1:6" ht="15.6" x14ac:dyDescent="0.3">
      <c r="A510" s="6" t="s">
        <v>911</v>
      </c>
      <c r="B510" s="6" t="s">
        <v>912</v>
      </c>
      <c r="C510" s="2">
        <f>DATE(2025,6,10)+TIME(11,12,53)</f>
        <v>45818.467280092591</v>
      </c>
      <c r="D510" s="1" t="s">
        <v>72</v>
      </c>
      <c r="E510" s="1" t="s">
        <v>572</v>
      </c>
      <c r="F510" s="1" t="s">
        <v>24</v>
      </c>
    </row>
    <row r="511" spans="1:6" ht="15.6" x14ac:dyDescent="0.3">
      <c r="A511" s="6" t="s">
        <v>767</v>
      </c>
      <c r="B511" s="6" t="s">
        <v>913</v>
      </c>
      <c r="C511" s="4">
        <f>DATE(2025,6,10)+TIME(11,3,3)</f>
        <v>45818.460451388892</v>
      </c>
      <c r="D511" s="3" t="s">
        <v>72</v>
      </c>
      <c r="E511" s="3" t="s">
        <v>572</v>
      </c>
      <c r="F511" s="3" t="s">
        <v>154</v>
      </c>
    </row>
    <row r="512" spans="1:6" ht="31.2" x14ac:dyDescent="0.3">
      <c r="A512" s="6" t="s">
        <v>108</v>
      </c>
      <c r="B512" s="6" t="s">
        <v>914</v>
      </c>
      <c r="C512" s="2">
        <f>DATE(2025,6,10)+TIME(10,55,52)</f>
        <v>45818.455462962964</v>
      </c>
      <c r="D512" s="1" t="s">
        <v>11</v>
      </c>
      <c r="E512" s="1" t="s">
        <v>12</v>
      </c>
      <c r="F512" s="1" t="s">
        <v>19</v>
      </c>
    </row>
    <row r="513" spans="1:6" ht="15.6" x14ac:dyDescent="0.3">
      <c r="A513" s="6" t="s">
        <v>125</v>
      </c>
      <c r="B513" s="6" t="s">
        <v>915</v>
      </c>
      <c r="C513" s="4">
        <f>DATE(2025,6,10)+TIME(10,26,57)</f>
        <v>45818.435381944444</v>
      </c>
      <c r="D513" s="3" t="s">
        <v>2</v>
      </c>
      <c r="E513" s="3" t="s">
        <v>198</v>
      </c>
      <c r="F513" s="3" t="s">
        <v>66</v>
      </c>
    </row>
    <row r="514" spans="1:6" ht="15.6" x14ac:dyDescent="0.3">
      <c r="A514" s="6" t="s">
        <v>290</v>
      </c>
      <c r="B514" s="6" t="s">
        <v>916</v>
      </c>
      <c r="C514" s="2">
        <f>DATE(2025,6,10)+TIME(10,2,40)</f>
        <v>45818.41851851852</v>
      </c>
      <c r="D514" s="1" t="s">
        <v>2</v>
      </c>
      <c r="E514" s="1" t="s">
        <v>198</v>
      </c>
      <c r="F514" s="1" t="s">
        <v>84</v>
      </c>
    </row>
    <row r="515" spans="1:6" ht="15.6" x14ac:dyDescent="0.3">
      <c r="A515" s="6" t="s">
        <v>25</v>
      </c>
      <c r="B515" s="6" t="s">
        <v>233</v>
      </c>
      <c r="C515" s="4">
        <f>DATE(2025,6,10)+TIME(9,17,40)</f>
        <v>45818.38726851852</v>
      </c>
      <c r="D515" s="3" t="s">
        <v>2</v>
      </c>
      <c r="E515" s="3" t="s">
        <v>198</v>
      </c>
      <c r="F515" s="3" t="s">
        <v>4</v>
      </c>
    </row>
    <row r="516" spans="1:6" ht="15.6" x14ac:dyDescent="0.3">
      <c r="A516" s="6" t="s">
        <v>339</v>
      </c>
      <c r="B516" s="6" t="s">
        <v>917</v>
      </c>
      <c r="C516" s="2">
        <f>DATE(2025,6,10)+TIME(8,2,52)</f>
        <v>45818.335324074076</v>
      </c>
      <c r="D516" s="1" t="s">
        <v>2</v>
      </c>
      <c r="E516" s="1" t="s">
        <v>198</v>
      </c>
      <c r="F516" s="1" t="s">
        <v>24</v>
      </c>
    </row>
    <row r="517" spans="1:6" ht="15.6" x14ac:dyDescent="0.3">
      <c r="A517" s="6" t="s">
        <v>32</v>
      </c>
      <c r="B517" s="6" t="s">
        <v>843</v>
      </c>
      <c r="C517" s="4">
        <f>DATE(2025,6,10)+TIME(8,1,52)</f>
        <v>45818.334629629629</v>
      </c>
      <c r="D517" s="3" t="s">
        <v>2</v>
      </c>
      <c r="E517" s="3" t="s">
        <v>198</v>
      </c>
      <c r="F517" s="3" t="s">
        <v>4</v>
      </c>
    </row>
    <row r="518" spans="1:6" ht="15.6" x14ac:dyDescent="0.3">
      <c r="A518" s="6" t="s">
        <v>415</v>
      </c>
      <c r="B518" s="6" t="s">
        <v>918</v>
      </c>
      <c r="C518" s="2">
        <f>DATE(2025,6,10)+TIME(8,1,12)</f>
        <v>45818.334166666667</v>
      </c>
      <c r="D518" s="1" t="s">
        <v>2</v>
      </c>
      <c r="E518" s="1" t="s">
        <v>198</v>
      </c>
      <c r="F518" s="1" t="s">
        <v>66</v>
      </c>
    </row>
    <row r="519" spans="1:6" ht="15.6" x14ac:dyDescent="0.3">
      <c r="A519" s="6" t="s">
        <v>290</v>
      </c>
      <c r="B519" s="6" t="s">
        <v>919</v>
      </c>
      <c r="C519" s="4">
        <f>DATE(2025,6,10)+TIME(7,48,56)</f>
        <v>45818.325648148151</v>
      </c>
      <c r="D519" s="3" t="s">
        <v>2</v>
      </c>
      <c r="E519" s="3" t="s">
        <v>198</v>
      </c>
      <c r="F519" s="3" t="s">
        <v>172</v>
      </c>
    </row>
    <row r="520" spans="1:6" ht="15.6" x14ac:dyDescent="0.3">
      <c r="A520" s="6" t="s">
        <v>920</v>
      </c>
      <c r="B520" s="6" t="s">
        <v>921</v>
      </c>
      <c r="C520" s="2">
        <f>DATE(2025,6,10)+TIME(6,59,47)</f>
        <v>45818.291516203702</v>
      </c>
      <c r="D520" s="1" t="s">
        <v>2</v>
      </c>
      <c r="E520" s="1" t="s">
        <v>198</v>
      </c>
      <c r="F520" s="1" t="s">
        <v>4</v>
      </c>
    </row>
    <row r="521" spans="1:6" ht="15.6" x14ac:dyDescent="0.3">
      <c r="A521" s="6" t="s">
        <v>0</v>
      </c>
      <c r="B521" s="6" t="s">
        <v>922</v>
      </c>
      <c r="C521" s="4">
        <f>DATE(2025,6,9)+TIME(16,25,13)</f>
        <v>45817.684178240743</v>
      </c>
      <c r="D521" s="3" t="s">
        <v>2</v>
      </c>
      <c r="E521" s="3" t="s">
        <v>198</v>
      </c>
      <c r="F521" s="3" t="s">
        <v>183</v>
      </c>
    </row>
    <row r="522" spans="1:6" ht="15.6" x14ac:dyDescent="0.3">
      <c r="A522" s="6" t="s">
        <v>923</v>
      </c>
      <c r="B522" s="6" t="s">
        <v>924</v>
      </c>
      <c r="C522" s="2">
        <f>DATE(2025,6,9)+TIME(16,19,40)</f>
        <v>45817.680324074077</v>
      </c>
      <c r="D522" s="1" t="s">
        <v>2</v>
      </c>
      <c r="E522" s="1" t="s">
        <v>198</v>
      </c>
      <c r="F522" s="1" t="s">
        <v>4</v>
      </c>
    </row>
    <row r="523" spans="1:6" ht="15.6" x14ac:dyDescent="0.3">
      <c r="A523" s="6" t="s">
        <v>925</v>
      </c>
      <c r="B523" s="6" t="s">
        <v>926</v>
      </c>
      <c r="C523" s="4">
        <f>DATE(2025,6,9)+TIME(15,23,42)</f>
        <v>45817.641458333332</v>
      </c>
      <c r="D523" s="3" t="s">
        <v>87</v>
      </c>
      <c r="E523" s="3" t="s">
        <v>414</v>
      </c>
      <c r="F523" s="3" t="s">
        <v>84</v>
      </c>
    </row>
    <row r="524" spans="1:6" ht="31.2" x14ac:dyDescent="0.3">
      <c r="A524" s="6" t="s">
        <v>927</v>
      </c>
      <c r="B524" s="6" t="s">
        <v>111</v>
      </c>
      <c r="C524" s="2">
        <f>DATE(2025,6,9)+TIME(8,21,39)</f>
        <v>45817.348368055558</v>
      </c>
      <c r="D524" s="1" t="s">
        <v>17</v>
      </c>
      <c r="E524" s="1" t="s">
        <v>636</v>
      </c>
      <c r="F524" s="1" t="s">
        <v>84</v>
      </c>
    </row>
    <row r="525" spans="1:6" ht="15.6" x14ac:dyDescent="0.3">
      <c r="A525" s="6" t="s">
        <v>474</v>
      </c>
      <c r="B525" s="6" t="s">
        <v>928</v>
      </c>
      <c r="C525" s="4">
        <f>DATE(2025,6,9)+TIME(8,2,1)</f>
        <v>45817.334733796299</v>
      </c>
      <c r="D525" s="3" t="s">
        <v>87</v>
      </c>
      <c r="E525" s="3" t="s">
        <v>578</v>
      </c>
      <c r="F525" s="3" t="s">
        <v>4</v>
      </c>
    </row>
    <row r="526" spans="1:6" ht="15.6" x14ac:dyDescent="0.3">
      <c r="A526" s="6" t="s">
        <v>858</v>
      </c>
      <c r="B526" s="6" t="s">
        <v>929</v>
      </c>
      <c r="C526" s="2">
        <f>DATE(2025,6,8)+TIME(10,12,17)</f>
        <v>45816.425196759257</v>
      </c>
      <c r="D526" s="1" t="s">
        <v>7</v>
      </c>
      <c r="E526" s="1" t="s">
        <v>157</v>
      </c>
      <c r="F526" s="1" t="s">
        <v>19</v>
      </c>
    </row>
    <row r="527" spans="1:6" ht="31.2" x14ac:dyDescent="0.3">
      <c r="A527" s="6" t="s">
        <v>930</v>
      </c>
      <c r="B527" s="6" t="s">
        <v>931</v>
      </c>
      <c r="C527" s="4">
        <f>DATE(2025,6,6)+TIME(11,39,29)</f>
        <v>45814.485752314817</v>
      </c>
      <c r="D527" s="3" t="s">
        <v>11</v>
      </c>
      <c r="E527" s="3" t="s">
        <v>723</v>
      </c>
      <c r="F527" s="3" t="s">
        <v>154</v>
      </c>
    </row>
    <row r="528" spans="1:6" ht="31.2" x14ac:dyDescent="0.3">
      <c r="A528" s="6" t="s">
        <v>932</v>
      </c>
      <c r="B528" s="6" t="s">
        <v>933</v>
      </c>
      <c r="C528" s="2">
        <f>DATE(2025,6,6)+TIME(10,55,15)</f>
        <v>45814.455034722225</v>
      </c>
      <c r="D528" s="1" t="s">
        <v>11</v>
      </c>
      <c r="E528" s="1" t="s">
        <v>723</v>
      </c>
      <c r="F528" s="1" t="s">
        <v>66</v>
      </c>
    </row>
    <row r="529" spans="1:6" ht="15.6" x14ac:dyDescent="0.3">
      <c r="A529" s="6" t="s">
        <v>934</v>
      </c>
      <c r="B529" s="6" t="s">
        <v>935</v>
      </c>
      <c r="C529" s="4">
        <f>DATE(2025,6,5)+TIME(13,26,22)</f>
        <v>45813.559976851851</v>
      </c>
      <c r="D529" s="3" t="s">
        <v>60</v>
      </c>
      <c r="E529" s="3" t="s">
        <v>882</v>
      </c>
      <c r="F529" s="3" t="s">
        <v>263</v>
      </c>
    </row>
    <row r="530" spans="1:6" ht="15.6" x14ac:dyDescent="0.3">
      <c r="A530" s="6" t="s">
        <v>936</v>
      </c>
      <c r="B530" s="6" t="s">
        <v>937</v>
      </c>
      <c r="C530" s="2">
        <f>DATE(2025,6,5)+TIME(13,25,2)</f>
        <v>45813.559050925927</v>
      </c>
      <c r="D530" s="1" t="s">
        <v>60</v>
      </c>
      <c r="E530" s="1" t="s">
        <v>882</v>
      </c>
      <c r="F530" s="1" t="s">
        <v>130</v>
      </c>
    </row>
    <row r="531" spans="1:6" ht="15.6" x14ac:dyDescent="0.3">
      <c r="A531" s="6" t="s">
        <v>370</v>
      </c>
      <c r="B531" s="6" t="s">
        <v>938</v>
      </c>
      <c r="C531" s="4">
        <f>DATE(2025,6,5)+TIME(13,7,58)</f>
        <v>45813.547199074077</v>
      </c>
      <c r="D531" s="3" t="s">
        <v>60</v>
      </c>
      <c r="E531" s="3" t="s">
        <v>882</v>
      </c>
      <c r="F531" s="3" t="s">
        <v>19</v>
      </c>
    </row>
    <row r="532" spans="1:6" ht="31.2" x14ac:dyDescent="0.3">
      <c r="A532" s="6" t="s">
        <v>939</v>
      </c>
      <c r="B532" s="6" t="s">
        <v>940</v>
      </c>
      <c r="C532" s="2">
        <f>DATE(2025,6,5)+TIME(12,48,15)</f>
        <v>45813.533506944441</v>
      </c>
      <c r="D532" s="1" t="s">
        <v>60</v>
      </c>
      <c r="E532" s="1" t="s">
        <v>882</v>
      </c>
      <c r="F532" s="1" t="s">
        <v>57</v>
      </c>
    </row>
    <row r="533" spans="1:6" ht="15.6" x14ac:dyDescent="0.3">
      <c r="A533" s="6" t="s">
        <v>941</v>
      </c>
      <c r="B533" s="6" t="s">
        <v>942</v>
      </c>
      <c r="C533" s="4">
        <f>DATE(2025,6,5)+TIME(12,27,15)</f>
        <v>45813.518923611111</v>
      </c>
      <c r="D533" s="3" t="s">
        <v>60</v>
      </c>
      <c r="E533" s="3" t="s">
        <v>882</v>
      </c>
      <c r="F533" s="3" t="s">
        <v>66</v>
      </c>
    </row>
    <row r="534" spans="1:6" ht="15.6" x14ac:dyDescent="0.3">
      <c r="A534" s="6" t="s">
        <v>943</v>
      </c>
      <c r="B534" s="6" t="s">
        <v>944</v>
      </c>
      <c r="C534" s="2">
        <f>DATE(2025,6,5)+TIME(12,26,19)</f>
        <v>45813.518275462964</v>
      </c>
      <c r="D534" s="1" t="s">
        <v>60</v>
      </c>
      <c r="E534" s="1" t="s">
        <v>882</v>
      </c>
      <c r="F534" s="1" t="s">
        <v>172</v>
      </c>
    </row>
    <row r="535" spans="1:6" ht="15.6" x14ac:dyDescent="0.3">
      <c r="A535" s="6" t="s">
        <v>93</v>
      </c>
      <c r="B535" s="6" t="s">
        <v>945</v>
      </c>
      <c r="C535" s="4">
        <f>DATE(2025,6,5)+TIME(12,18,2)</f>
        <v>45813.512523148151</v>
      </c>
      <c r="D535" s="3" t="s">
        <v>87</v>
      </c>
      <c r="E535" s="3" t="s">
        <v>138</v>
      </c>
      <c r="F535" s="3" t="s">
        <v>4</v>
      </c>
    </row>
    <row r="536" spans="1:6" ht="15.6" x14ac:dyDescent="0.3">
      <c r="A536" s="6" t="s">
        <v>428</v>
      </c>
      <c r="B536" s="6" t="s">
        <v>265</v>
      </c>
      <c r="C536" s="2">
        <f>DATE(2025,6,5)+TIME(6,57,14)</f>
        <v>45813.28974537037</v>
      </c>
      <c r="D536" s="1" t="s">
        <v>87</v>
      </c>
      <c r="E536" s="1" t="s">
        <v>138</v>
      </c>
      <c r="F536" s="1" t="s">
        <v>4</v>
      </c>
    </row>
    <row r="537" spans="1:6" ht="15.6" x14ac:dyDescent="0.3">
      <c r="A537" s="6" t="s">
        <v>670</v>
      </c>
      <c r="B537" s="6" t="s">
        <v>946</v>
      </c>
      <c r="C537" s="4">
        <f>DATE(2025,6,4)+TIME(17,25,22)</f>
        <v>45812.725949074076</v>
      </c>
      <c r="D537" s="3" t="s">
        <v>87</v>
      </c>
      <c r="E537" s="3" t="s">
        <v>578</v>
      </c>
      <c r="F537" s="3" t="s">
        <v>76</v>
      </c>
    </row>
    <row r="538" spans="1:6" ht="15.6" x14ac:dyDescent="0.3">
      <c r="A538" s="6" t="s">
        <v>243</v>
      </c>
      <c r="B538" s="6" t="s">
        <v>947</v>
      </c>
      <c r="C538" s="2">
        <f>DATE(2025,6,4)+TIME(17,10,7)</f>
        <v>45812.715358796297</v>
      </c>
      <c r="D538" s="1" t="s">
        <v>87</v>
      </c>
      <c r="E538" s="1" t="s">
        <v>138</v>
      </c>
      <c r="F538" s="1" t="s">
        <v>172</v>
      </c>
    </row>
    <row r="539" spans="1:6" ht="15.6" x14ac:dyDescent="0.3">
      <c r="A539" s="6" t="s">
        <v>500</v>
      </c>
      <c r="B539" s="6" t="s">
        <v>948</v>
      </c>
      <c r="C539" s="4">
        <f>DATE(2025,6,4)+TIME(15,34,16)</f>
        <v>45812.648796296293</v>
      </c>
      <c r="D539" s="3" t="s">
        <v>87</v>
      </c>
      <c r="E539" s="3" t="s">
        <v>138</v>
      </c>
      <c r="F539" s="3" t="s">
        <v>263</v>
      </c>
    </row>
    <row r="540" spans="1:6" ht="15.6" x14ac:dyDescent="0.3">
      <c r="A540" s="6" t="s">
        <v>939</v>
      </c>
      <c r="B540" s="6" t="s">
        <v>751</v>
      </c>
      <c r="C540" s="2">
        <f>DATE(2025,6,4)+TIME(15,1,30)</f>
        <v>45812.62604166667</v>
      </c>
      <c r="D540" s="1" t="s">
        <v>87</v>
      </c>
      <c r="E540" s="1" t="s">
        <v>138</v>
      </c>
      <c r="F540" s="1" t="s">
        <v>4</v>
      </c>
    </row>
    <row r="541" spans="1:6" ht="15.6" x14ac:dyDescent="0.3">
      <c r="A541" s="6" t="s">
        <v>74</v>
      </c>
      <c r="B541" s="6" t="s">
        <v>339</v>
      </c>
      <c r="C541" s="4">
        <f>DATE(2025,6,4)+TIME(14,48,57)</f>
        <v>45812.617326388892</v>
      </c>
      <c r="D541" s="3" t="s">
        <v>87</v>
      </c>
      <c r="E541" s="3" t="s">
        <v>138</v>
      </c>
      <c r="F541" s="3" t="s">
        <v>4</v>
      </c>
    </row>
    <row r="542" spans="1:6" ht="15.6" x14ac:dyDescent="0.3">
      <c r="A542" s="6" t="s">
        <v>713</v>
      </c>
      <c r="B542" s="6" t="s">
        <v>949</v>
      </c>
      <c r="C542" s="2">
        <f>DATE(2025,6,4)+TIME(14,29,16)</f>
        <v>45812.60365740741</v>
      </c>
      <c r="D542" s="1" t="s">
        <v>87</v>
      </c>
      <c r="E542" s="1" t="s">
        <v>138</v>
      </c>
      <c r="F542" s="1" t="s">
        <v>4</v>
      </c>
    </row>
    <row r="543" spans="1:6" ht="15.6" x14ac:dyDescent="0.3">
      <c r="A543" s="6" t="s">
        <v>950</v>
      </c>
      <c r="B543" s="6" t="s">
        <v>951</v>
      </c>
      <c r="C543" s="4">
        <f>DATE(2025,6,4)+TIME(14,5,32)</f>
        <v>45812.587175925924</v>
      </c>
      <c r="D543" s="3" t="s">
        <v>87</v>
      </c>
      <c r="E543" s="3" t="s">
        <v>138</v>
      </c>
      <c r="F543" s="3" t="s">
        <v>19</v>
      </c>
    </row>
    <row r="544" spans="1:6" ht="15.6" x14ac:dyDescent="0.3">
      <c r="A544" s="6" t="s">
        <v>487</v>
      </c>
      <c r="B544" s="6" t="s">
        <v>52</v>
      </c>
      <c r="C544" s="2">
        <f>DATE(2025,6,4)+TIME(14,1,1)</f>
        <v>45812.584039351852</v>
      </c>
      <c r="D544" s="1" t="s">
        <v>87</v>
      </c>
      <c r="E544" s="1" t="s">
        <v>138</v>
      </c>
      <c r="F544" s="1" t="s">
        <v>84</v>
      </c>
    </row>
    <row r="545" spans="1:6" ht="15.6" x14ac:dyDescent="0.3">
      <c r="A545" s="6" t="s">
        <v>952</v>
      </c>
      <c r="B545" s="6" t="s">
        <v>242</v>
      </c>
      <c r="C545" s="4">
        <f>DATE(2025,6,4)+TIME(13,59,47)</f>
        <v>45812.583182870374</v>
      </c>
      <c r="D545" s="3" t="s">
        <v>87</v>
      </c>
      <c r="E545" s="3" t="s">
        <v>138</v>
      </c>
      <c r="F545" s="3" t="s">
        <v>4</v>
      </c>
    </row>
    <row r="546" spans="1:6" ht="15.6" x14ac:dyDescent="0.3">
      <c r="A546" s="6" t="s">
        <v>953</v>
      </c>
      <c r="B546" s="6" t="s">
        <v>954</v>
      </c>
      <c r="C546" s="2">
        <f>DATE(2025,6,4)+TIME(11,49,24)</f>
        <v>45812.492638888885</v>
      </c>
      <c r="D546" s="1" t="s">
        <v>87</v>
      </c>
      <c r="E546" s="1" t="s">
        <v>138</v>
      </c>
      <c r="F546" s="1" t="s">
        <v>154</v>
      </c>
    </row>
    <row r="547" spans="1:6" ht="15.6" x14ac:dyDescent="0.3">
      <c r="A547" s="6" t="s">
        <v>955</v>
      </c>
      <c r="B547" s="6" t="s">
        <v>956</v>
      </c>
      <c r="C547" s="4">
        <f>DATE(2025,6,4)+TIME(8,46,56)</f>
        <v>45812.365925925929</v>
      </c>
      <c r="D547" s="3" t="s">
        <v>60</v>
      </c>
      <c r="E547" s="3" t="s">
        <v>882</v>
      </c>
      <c r="F547" s="3" t="s">
        <v>4</v>
      </c>
    </row>
    <row r="548" spans="1:6" ht="31.2" x14ac:dyDescent="0.3">
      <c r="A548" s="6" t="s">
        <v>957</v>
      </c>
      <c r="B548" s="6" t="s">
        <v>958</v>
      </c>
      <c r="C548" s="2">
        <f>DATE(2025,6,3)+TIME(18,12,17)</f>
        <v>45811.758530092593</v>
      </c>
      <c r="D548" s="1" t="s">
        <v>87</v>
      </c>
      <c r="E548" s="1" t="s">
        <v>578</v>
      </c>
      <c r="F548" s="1" t="s">
        <v>57</v>
      </c>
    </row>
    <row r="549" spans="1:6" ht="15.6" x14ac:dyDescent="0.3">
      <c r="A549" s="6" t="s">
        <v>959</v>
      </c>
      <c r="B549" s="6" t="s">
        <v>309</v>
      </c>
      <c r="C549" s="4">
        <f>DATE(2025,6,3)+TIME(11,11,5)</f>
        <v>45811.46603009259</v>
      </c>
      <c r="D549" s="3" t="s">
        <v>87</v>
      </c>
      <c r="E549" s="3" t="s">
        <v>578</v>
      </c>
      <c r="F549" s="3" t="s">
        <v>19</v>
      </c>
    </row>
    <row r="550" spans="1:6" ht="15.6" x14ac:dyDescent="0.3">
      <c r="A550" s="6" t="s">
        <v>85</v>
      </c>
      <c r="B550" s="6" t="s">
        <v>960</v>
      </c>
      <c r="C550" s="2">
        <f>DATE(2025,6,2)+TIME(16,50,15)</f>
        <v>45810.701562499999</v>
      </c>
      <c r="D550" s="1" t="s">
        <v>87</v>
      </c>
      <c r="E550" s="1" t="s">
        <v>578</v>
      </c>
      <c r="F550" s="1" t="s">
        <v>4</v>
      </c>
    </row>
    <row r="551" spans="1:6" ht="15.6" x14ac:dyDescent="0.3">
      <c r="A551" s="6" t="s">
        <v>393</v>
      </c>
      <c r="B551" s="6" t="s">
        <v>961</v>
      </c>
      <c r="C551" s="4">
        <f>DATE(2025,6,2)+TIME(15,32,45)</f>
        <v>45810.647743055553</v>
      </c>
      <c r="D551" s="3" t="s">
        <v>87</v>
      </c>
      <c r="E551" s="3" t="s">
        <v>578</v>
      </c>
      <c r="F551" s="3" t="s">
        <v>4</v>
      </c>
    </row>
    <row r="552" spans="1:6" ht="15.6" x14ac:dyDescent="0.3">
      <c r="A552" s="6" t="s">
        <v>492</v>
      </c>
      <c r="B552" s="6" t="s">
        <v>962</v>
      </c>
      <c r="C552" s="2">
        <f>DATE(2025,6,2)+TIME(15,28,33)</f>
        <v>45810.644826388889</v>
      </c>
      <c r="D552" s="1" t="s">
        <v>87</v>
      </c>
      <c r="E552" s="1" t="s">
        <v>578</v>
      </c>
      <c r="F552" s="1" t="s">
        <v>19</v>
      </c>
    </row>
    <row r="553" spans="1:6" ht="15.6" x14ac:dyDescent="0.3">
      <c r="A553" s="6" t="s">
        <v>806</v>
      </c>
      <c r="B553" s="6" t="s">
        <v>963</v>
      </c>
      <c r="C553" s="4">
        <f>DATE(2025,6,2)+TIME(15,13,0)</f>
        <v>45810.634027777778</v>
      </c>
      <c r="D553" s="3" t="s">
        <v>87</v>
      </c>
      <c r="E553" s="3" t="s">
        <v>578</v>
      </c>
      <c r="F553" s="3" t="s">
        <v>4</v>
      </c>
    </row>
    <row r="554" spans="1:6" ht="15.6" x14ac:dyDescent="0.3">
      <c r="A554" s="6" t="s">
        <v>131</v>
      </c>
      <c r="B554" s="6" t="s">
        <v>964</v>
      </c>
      <c r="C554" s="2">
        <f>DATE(2025,6,2)+TIME(15,9,8)</f>
        <v>45810.631342592591</v>
      </c>
      <c r="D554" s="1" t="s">
        <v>87</v>
      </c>
      <c r="E554" s="1" t="s">
        <v>578</v>
      </c>
      <c r="F554" s="1" t="s">
        <v>45</v>
      </c>
    </row>
    <row r="555" spans="1:6" ht="15.6" x14ac:dyDescent="0.3">
      <c r="A555" s="6" t="s">
        <v>965</v>
      </c>
      <c r="B555" s="6" t="s">
        <v>966</v>
      </c>
      <c r="C555" s="4">
        <f>DATE(2025,6,2)+TIME(13,9,21)</f>
        <v>45810.548159722224</v>
      </c>
      <c r="D555" s="3" t="s">
        <v>87</v>
      </c>
      <c r="E555" s="3" t="s">
        <v>578</v>
      </c>
      <c r="F555" s="3" t="s">
        <v>154</v>
      </c>
    </row>
    <row r="556" spans="1:6" ht="15.6" x14ac:dyDescent="0.3">
      <c r="A556" s="6" t="s">
        <v>54</v>
      </c>
      <c r="B556" s="6" t="s">
        <v>967</v>
      </c>
      <c r="C556" s="2">
        <f>DATE(2025,6,2)+TIME(9,30,8)</f>
        <v>45810.395925925928</v>
      </c>
      <c r="D556" s="1" t="s">
        <v>22</v>
      </c>
      <c r="E556" s="1" t="s">
        <v>641</v>
      </c>
      <c r="F556" s="1" t="s">
        <v>4</v>
      </c>
    </row>
    <row r="557" spans="1:6" ht="31.2" x14ac:dyDescent="0.3">
      <c r="A557" s="6" t="s">
        <v>968</v>
      </c>
      <c r="B557" s="6" t="s">
        <v>969</v>
      </c>
      <c r="C557" s="4">
        <f>DATE(2025,6,1)+TIME(11,43,15)</f>
        <v>45809.488368055558</v>
      </c>
      <c r="D557" s="3" t="s">
        <v>2</v>
      </c>
      <c r="E557" s="3" t="s">
        <v>592</v>
      </c>
      <c r="F557" s="3" t="s">
        <v>263</v>
      </c>
    </row>
    <row r="558" spans="1:6" ht="15.6" x14ac:dyDescent="0.3">
      <c r="A558" s="6" t="s">
        <v>970</v>
      </c>
      <c r="B558" s="6" t="s">
        <v>971</v>
      </c>
      <c r="C558" s="2">
        <f>DATE(2025,5,31)+TIME(18,8,55)</f>
        <v>45808.756192129629</v>
      </c>
      <c r="D558" s="1" t="s">
        <v>48</v>
      </c>
      <c r="E558" s="1" t="s">
        <v>972</v>
      </c>
      <c r="F558" s="1" t="s">
        <v>45</v>
      </c>
    </row>
    <row r="559" spans="1:6" ht="31.2" x14ac:dyDescent="0.3">
      <c r="A559" s="6" t="s">
        <v>54</v>
      </c>
      <c r="B559" s="6" t="s">
        <v>973</v>
      </c>
      <c r="C559" s="4">
        <f>DATE(2025,5,30)+TIME(11,57,38)</f>
        <v>45807.498356481483</v>
      </c>
      <c r="D559" s="3" t="s">
        <v>2</v>
      </c>
      <c r="E559" s="3" t="s">
        <v>238</v>
      </c>
      <c r="F559" s="3" t="s">
        <v>4</v>
      </c>
    </row>
    <row r="560" spans="1:6" ht="31.2" x14ac:dyDescent="0.3">
      <c r="A560" s="6" t="s">
        <v>327</v>
      </c>
      <c r="B560" s="6" t="s">
        <v>974</v>
      </c>
      <c r="C560" s="2">
        <f>DATE(2025,5,30)+TIME(6,12,35)</f>
        <v>45807.258738425924</v>
      </c>
      <c r="D560" s="1" t="s">
        <v>2</v>
      </c>
      <c r="E560" s="1" t="s">
        <v>238</v>
      </c>
      <c r="F560" s="1" t="s">
        <v>19</v>
      </c>
    </row>
    <row r="561" spans="1:6" ht="31.2" x14ac:dyDescent="0.3">
      <c r="A561" s="6" t="s">
        <v>764</v>
      </c>
      <c r="B561" s="6" t="s">
        <v>975</v>
      </c>
      <c r="C561" s="4">
        <f>DATE(2025,5,30)+TIME(5,37,38)</f>
        <v>45807.234467592592</v>
      </c>
      <c r="D561" s="3" t="s">
        <v>2</v>
      </c>
      <c r="E561" s="3" t="s">
        <v>238</v>
      </c>
      <c r="F561" s="3" t="s">
        <v>4</v>
      </c>
    </row>
    <row r="562" spans="1:6" ht="31.2" x14ac:dyDescent="0.3">
      <c r="A562" s="6" t="s">
        <v>104</v>
      </c>
      <c r="B562" s="6" t="s">
        <v>976</v>
      </c>
      <c r="C562" s="2">
        <f>DATE(2025,5,29)+TIME(21,38,31)</f>
        <v>45806.901747685188</v>
      </c>
      <c r="D562" s="1" t="s">
        <v>2</v>
      </c>
      <c r="E562" s="1" t="s">
        <v>238</v>
      </c>
      <c r="F562" s="1" t="s">
        <v>154</v>
      </c>
    </row>
    <row r="563" spans="1:6" ht="15.6" x14ac:dyDescent="0.3">
      <c r="A563" s="6" t="s">
        <v>25</v>
      </c>
      <c r="B563" s="6" t="s">
        <v>977</v>
      </c>
      <c r="C563" s="4">
        <f>DATE(2025,5,29)+TIME(20,44,19)</f>
        <v>45806.864108796297</v>
      </c>
      <c r="D563" s="3" t="s">
        <v>22</v>
      </c>
      <c r="E563" s="3" t="s">
        <v>421</v>
      </c>
      <c r="F563" s="3" t="s">
        <v>19</v>
      </c>
    </row>
    <row r="564" spans="1:6" ht="31.2" x14ac:dyDescent="0.3">
      <c r="A564" s="6" t="s">
        <v>978</v>
      </c>
      <c r="B564" s="6" t="s">
        <v>979</v>
      </c>
      <c r="C564" s="2">
        <f>DATE(2025,5,29)+TIME(8,22,37)</f>
        <v>45806.349039351851</v>
      </c>
      <c r="D564" s="1" t="s">
        <v>2</v>
      </c>
      <c r="E564" s="1" t="s">
        <v>238</v>
      </c>
      <c r="F564" s="1" t="s">
        <v>4</v>
      </c>
    </row>
    <row r="565" spans="1:6" ht="31.2" x14ac:dyDescent="0.3">
      <c r="A565" s="6" t="s">
        <v>980</v>
      </c>
      <c r="B565" s="6" t="s">
        <v>981</v>
      </c>
      <c r="C565" s="4">
        <f>DATE(2025,5,29)+TIME(7,59,55)</f>
        <v>45806.333275462966</v>
      </c>
      <c r="D565" s="3" t="s">
        <v>2</v>
      </c>
      <c r="E565" s="3" t="s">
        <v>238</v>
      </c>
      <c r="F565" s="3" t="s">
        <v>4</v>
      </c>
    </row>
    <row r="566" spans="1:6" ht="31.2" x14ac:dyDescent="0.3">
      <c r="A566" s="6" t="s">
        <v>367</v>
      </c>
      <c r="B566" s="6" t="s">
        <v>982</v>
      </c>
      <c r="C566" s="2">
        <f>DATE(2025,5,29)+TIME(7,38,49)</f>
        <v>45806.318622685183</v>
      </c>
      <c r="D566" s="1" t="s">
        <v>2</v>
      </c>
      <c r="E566" s="1" t="s">
        <v>238</v>
      </c>
      <c r="F566" s="1" t="s">
        <v>154</v>
      </c>
    </row>
    <row r="567" spans="1:6" ht="31.2" x14ac:dyDescent="0.3">
      <c r="A567" s="6" t="s">
        <v>983</v>
      </c>
      <c r="B567" s="6" t="s">
        <v>984</v>
      </c>
      <c r="C567" s="4">
        <f>DATE(2025,5,29)+TIME(6,50,18)</f>
        <v>45806.284930555557</v>
      </c>
      <c r="D567" s="3" t="s">
        <v>2</v>
      </c>
      <c r="E567" s="3" t="s">
        <v>238</v>
      </c>
      <c r="F567" s="3" t="s">
        <v>84</v>
      </c>
    </row>
    <row r="568" spans="1:6" ht="15.6" x14ac:dyDescent="0.3">
      <c r="A568" s="6" t="s">
        <v>985</v>
      </c>
      <c r="B568" s="6" t="s">
        <v>986</v>
      </c>
      <c r="C568" s="2">
        <f>DATE(2025,5,28)+TIME(22,3,5)</f>
        <v>45805.918807870374</v>
      </c>
      <c r="D568" s="1" t="s">
        <v>60</v>
      </c>
      <c r="E568" s="1" t="s">
        <v>83</v>
      </c>
      <c r="F568" s="1" t="s">
        <v>19</v>
      </c>
    </row>
    <row r="569" spans="1:6" ht="15.6" x14ac:dyDescent="0.3">
      <c r="A569" s="6" t="s">
        <v>987</v>
      </c>
      <c r="B569" s="6" t="s">
        <v>988</v>
      </c>
      <c r="C569" s="4">
        <f>DATE(2025,5,28)+TIME(16,5,34)</f>
        <v>45805.670532407406</v>
      </c>
      <c r="D569" s="3" t="s">
        <v>48</v>
      </c>
      <c r="E569" s="3" t="s">
        <v>972</v>
      </c>
      <c r="F569" s="3" t="s">
        <v>92</v>
      </c>
    </row>
    <row r="570" spans="1:6" ht="31.2" x14ac:dyDescent="0.3">
      <c r="A570" s="6" t="s">
        <v>305</v>
      </c>
      <c r="B570" s="6" t="s">
        <v>989</v>
      </c>
      <c r="C570" s="2">
        <f>DATE(2025,5,28)+TIME(14,49,36)</f>
        <v>45805.617777777778</v>
      </c>
      <c r="D570" s="1" t="s">
        <v>2</v>
      </c>
      <c r="E570" s="1" t="s">
        <v>592</v>
      </c>
      <c r="F570" s="1" t="s">
        <v>4</v>
      </c>
    </row>
    <row r="571" spans="1:6" ht="31.2" x14ac:dyDescent="0.3">
      <c r="A571" s="6" t="s">
        <v>668</v>
      </c>
      <c r="B571" s="6" t="s">
        <v>990</v>
      </c>
      <c r="C571" s="4">
        <f>DATE(2025,5,28)+TIME(8,46,25)</f>
        <v>45805.365567129629</v>
      </c>
      <c r="D571" s="3" t="s">
        <v>2</v>
      </c>
      <c r="E571" s="3" t="s">
        <v>592</v>
      </c>
      <c r="F571" s="3" t="s">
        <v>4</v>
      </c>
    </row>
    <row r="572" spans="1:6" ht="31.2" x14ac:dyDescent="0.3">
      <c r="A572" s="6" t="s">
        <v>991</v>
      </c>
      <c r="B572" s="6" t="s">
        <v>992</v>
      </c>
      <c r="C572" s="2">
        <f>DATE(2025,5,28)+TIME(8,35,54)</f>
        <v>45805.358263888891</v>
      </c>
      <c r="D572" s="1" t="s">
        <v>2</v>
      </c>
      <c r="E572" s="1" t="s">
        <v>592</v>
      </c>
      <c r="F572" s="1" t="s">
        <v>4</v>
      </c>
    </row>
    <row r="573" spans="1:6" ht="15.6" x14ac:dyDescent="0.3">
      <c r="A573" s="6" t="s">
        <v>601</v>
      </c>
      <c r="B573" s="6" t="s">
        <v>531</v>
      </c>
      <c r="C573" s="4">
        <f>DATE(2025,5,28)+TIME(8,34,46)</f>
        <v>45805.357476851852</v>
      </c>
      <c r="D573" s="3" t="s">
        <v>72</v>
      </c>
      <c r="E573" s="3" t="s">
        <v>354</v>
      </c>
      <c r="F573" s="3" t="s">
        <v>154</v>
      </c>
    </row>
    <row r="574" spans="1:6" ht="31.2" x14ac:dyDescent="0.3">
      <c r="A574" s="6" t="s">
        <v>993</v>
      </c>
      <c r="B574" s="6" t="s">
        <v>994</v>
      </c>
      <c r="C574" s="2">
        <f>DATE(2025,5,28)+TIME(7,20,42)</f>
        <v>45805.306041666663</v>
      </c>
      <c r="D574" s="1" t="s">
        <v>2</v>
      </c>
      <c r="E574" s="1" t="s">
        <v>592</v>
      </c>
      <c r="F574" s="1" t="s">
        <v>263</v>
      </c>
    </row>
    <row r="575" spans="1:6" ht="31.2" x14ac:dyDescent="0.3">
      <c r="A575" s="6" t="s">
        <v>370</v>
      </c>
      <c r="B575" s="6" t="s">
        <v>995</v>
      </c>
      <c r="C575" s="4">
        <f>DATE(2025,5,27)+TIME(19,2,2)</f>
        <v>45804.793078703704</v>
      </c>
      <c r="D575" s="3" t="s">
        <v>2</v>
      </c>
      <c r="E575" s="3" t="s">
        <v>592</v>
      </c>
      <c r="F575" s="3" t="s">
        <v>24</v>
      </c>
    </row>
    <row r="576" spans="1:6" ht="31.2" x14ac:dyDescent="0.3">
      <c r="A576" s="6" t="s">
        <v>996</v>
      </c>
      <c r="B576" s="6" t="s">
        <v>997</v>
      </c>
      <c r="C576" s="2">
        <f>DATE(2025,5,27)+TIME(18,57,4)</f>
        <v>45804.789629629631</v>
      </c>
      <c r="D576" s="1" t="s">
        <v>2</v>
      </c>
      <c r="E576" s="1" t="s">
        <v>592</v>
      </c>
      <c r="F576" s="1" t="s">
        <v>4</v>
      </c>
    </row>
    <row r="577" spans="1:6" ht="15.6" x14ac:dyDescent="0.3">
      <c r="A577" s="6" t="s">
        <v>713</v>
      </c>
      <c r="B577" s="6" t="s">
        <v>998</v>
      </c>
      <c r="C577" s="4">
        <f>DATE(2025,5,27)+TIME(13,51,1)</f>
        <v>45804.577094907407</v>
      </c>
      <c r="D577" s="3" t="s">
        <v>17</v>
      </c>
      <c r="E577" s="3" t="s">
        <v>693</v>
      </c>
      <c r="F577" s="3" t="s">
        <v>4</v>
      </c>
    </row>
    <row r="578" spans="1:6" ht="15.6" x14ac:dyDescent="0.3">
      <c r="A578" s="6" t="s">
        <v>824</v>
      </c>
      <c r="B578" s="6" t="s">
        <v>879</v>
      </c>
      <c r="C578" s="2">
        <f>DATE(2025,5,27)+TIME(7,57,12)</f>
        <v>45804.331388888888</v>
      </c>
      <c r="D578" s="1" t="s">
        <v>17</v>
      </c>
      <c r="E578" s="1" t="s">
        <v>693</v>
      </c>
      <c r="F578" s="1" t="s">
        <v>4</v>
      </c>
    </row>
    <row r="579" spans="1:6" ht="15.6" x14ac:dyDescent="0.3">
      <c r="A579" s="6" t="s">
        <v>279</v>
      </c>
      <c r="B579" s="6" t="s">
        <v>999</v>
      </c>
      <c r="C579" s="4">
        <f>DATE(2025,5,23)+TIME(11,56,42)</f>
        <v>45800.497708333336</v>
      </c>
      <c r="D579" s="3" t="s">
        <v>17</v>
      </c>
      <c r="E579" s="3" t="s">
        <v>693</v>
      </c>
      <c r="F579" s="3" t="s">
        <v>84</v>
      </c>
    </row>
    <row r="580" spans="1:6" ht="15.6" x14ac:dyDescent="0.3">
      <c r="A580" s="6" t="s">
        <v>310</v>
      </c>
      <c r="B580" s="6" t="s">
        <v>1000</v>
      </c>
      <c r="C580" s="2">
        <f>DATE(2025,5,23)+TIME(10,20,42)</f>
        <v>45800.431041666663</v>
      </c>
      <c r="D580" s="1" t="s">
        <v>17</v>
      </c>
      <c r="E580" s="1" t="s">
        <v>693</v>
      </c>
      <c r="F580" s="1" t="s">
        <v>4</v>
      </c>
    </row>
    <row r="581" spans="1:6" ht="15.6" x14ac:dyDescent="0.3">
      <c r="A581" s="6" t="s">
        <v>1001</v>
      </c>
      <c r="B581" s="6" t="s">
        <v>1002</v>
      </c>
      <c r="C581" s="4">
        <f>DATE(2025,5,23)+TIME(8,19,54)</f>
        <v>45800.34715277778</v>
      </c>
      <c r="D581" s="3" t="s">
        <v>17</v>
      </c>
      <c r="E581" s="3" t="s">
        <v>693</v>
      </c>
      <c r="F581" s="3" t="s">
        <v>4</v>
      </c>
    </row>
    <row r="582" spans="1:6" ht="15.6" x14ac:dyDescent="0.3">
      <c r="A582" s="6" t="s">
        <v>1003</v>
      </c>
      <c r="B582" s="6" t="s">
        <v>1004</v>
      </c>
      <c r="C582" s="2">
        <f>DATE(2025,5,23)+TIME(8,18,14)</f>
        <v>45800.345995370371</v>
      </c>
      <c r="D582" s="1" t="s">
        <v>17</v>
      </c>
      <c r="E582" s="1" t="s">
        <v>693</v>
      </c>
      <c r="F582" s="1" t="s">
        <v>4</v>
      </c>
    </row>
    <row r="583" spans="1:6" ht="15.6" x14ac:dyDescent="0.3">
      <c r="A583" s="6" t="s">
        <v>108</v>
      </c>
      <c r="B583" s="6" t="s">
        <v>1005</v>
      </c>
      <c r="C583" s="4">
        <f>DATE(2025,5,23)+TIME(8,14,37)</f>
        <v>45800.3434837963</v>
      </c>
      <c r="D583" s="3" t="s">
        <v>17</v>
      </c>
      <c r="E583" s="3" t="s">
        <v>693</v>
      </c>
      <c r="F583" s="3" t="s">
        <v>154</v>
      </c>
    </row>
    <row r="584" spans="1:6" ht="31.2" x14ac:dyDescent="0.3">
      <c r="A584" s="6" t="s">
        <v>1006</v>
      </c>
      <c r="B584" s="6" t="s">
        <v>1007</v>
      </c>
      <c r="C584" s="2">
        <f>DATE(2025,5,22)+TIME(20,25,36)</f>
        <v>45799.851111111115</v>
      </c>
      <c r="D584" s="1" t="s">
        <v>2</v>
      </c>
      <c r="E584" s="1" t="s">
        <v>592</v>
      </c>
      <c r="F584" s="1" t="s">
        <v>24</v>
      </c>
    </row>
    <row r="585" spans="1:6" ht="31.2" x14ac:dyDescent="0.3">
      <c r="A585" s="6" t="s">
        <v>522</v>
      </c>
      <c r="B585" s="6" t="s">
        <v>233</v>
      </c>
      <c r="C585" s="4">
        <f>DATE(2025,5,22)+TIME(12,51,25)</f>
        <v>45799.53570601852</v>
      </c>
      <c r="D585" s="3" t="s">
        <v>2</v>
      </c>
      <c r="E585" s="3" t="s">
        <v>592</v>
      </c>
      <c r="F585" s="3" t="s">
        <v>154</v>
      </c>
    </row>
    <row r="586" spans="1:6" ht="31.2" x14ac:dyDescent="0.3">
      <c r="A586" s="6" t="s">
        <v>1008</v>
      </c>
      <c r="B586" s="6" t="s">
        <v>1009</v>
      </c>
      <c r="C586" s="2">
        <f>DATE(2025,5,22)+TIME(8,36,42)</f>
        <v>45799.358819444446</v>
      </c>
      <c r="D586" s="1" t="s">
        <v>2</v>
      </c>
      <c r="E586" s="1" t="s">
        <v>592</v>
      </c>
      <c r="F586" s="1" t="s">
        <v>84</v>
      </c>
    </row>
    <row r="587" spans="1:6" ht="31.2" x14ac:dyDescent="0.3">
      <c r="A587" s="6" t="s">
        <v>173</v>
      </c>
      <c r="B587" s="6" t="s">
        <v>1010</v>
      </c>
      <c r="C587" s="4">
        <f>DATE(2025,5,22)+TIME(8,18,25)</f>
        <v>45799.346122685187</v>
      </c>
      <c r="D587" s="3" t="s">
        <v>2</v>
      </c>
      <c r="E587" s="3" t="s">
        <v>592</v>
      </c>
      <c r="F587" s="3" t="s">
        <v>4</v>
      </c>
    </row>
    <row r="588" spans="1:6" ht="31.2" x14ac:dyDescent="0.3">
      <c r="A588" s="6" t="s">
        <v>147</v>
      </c>
      <c r="B588" s="6" t="s">
        <v>1011</v>
      </c>
      <c r="C588" s="2">
        <f>DATE(2025,5,22)+TIME(8,15,16)</f>
        <v>45799.343935185185</v>
      </c>
      <c r="D588" s="1" t="s">
        <v>2</v>
      </c>
      <c r="E588" s="1" t="s">
        <v>592</v>
      </c>
      <c r="F588" s="1" t="s">
        <v>112</v>
      </c>
    </row>
    <row r="589" spans="1:6" ht="31.2" x14ac:dyDescent="0.3">
      <c r="A589" s="6" t="s">
        <v>115</v>
      </c>
      <c r="B589" s="6" t="s">
        <v>1012</v>
      </c>
      <c r="C589" s="4">
        <f>DATE(2025,5,22)+TIME(8,7,5)</f>
        <v>45799.338252314818</v>
      </c>
      <c r="D589" s="3" t="s">
        <v>2</v>
      </c>
      <c r="E589" s="3" t="s">
        <v>592</v>
      </c>
      <c r="F589" s="3" t="s">
        <v>19</v>
      </c>
    </row>
    <row r="590" spans="1:6" ht="31.2" x14ac:dyDescent="0.3">
      <c r="A590" s="6" t="s">
        <v>762</v>
      </c>
      <c r="B590" s="6" t="s">
        <v>1013</v>
      </c>
      <c r="C590" s="2">
        <f>DATE(2025,5,22)+TIME(8,5,35)</f>
        <v>45799.337210648147</v>
      </c>
      <c r="D590" s="1" t="s">
        <v>2</v>
      </c>
      <c r="E590" s="1" t="s">
        <v>592</v>
      </c>
      <c r="F590" s="1" t="s">
        <v>4</v>
      </c>
    </row>
    <row r="591" spans="1:6" ht="31.2" x14ac:dyDescent="0.3">
      <c r="A591" s="6" t="s">
        <v>275</v>
      </c>
      <c r="B591" s="6" t="s">
        <v>1014</v>
      </c>
      <c r="C591" s="4">
        <f>DATE(2025,5,22)+TIME(8,4,43)</f>
        <v>45799.336608796293</v>
      </c>
      <c r="D591" s="3" t="s">
        <v>2</v>
      </c>
      <c r="E591" s="3" t="s">
        <v>592</v>
      </c>
      <c r="F591" s="3" t="s">
        <v>4</v>
      </c>
    </row>
    <row r="592" spans="1:6" ht="31.2" x14ac:dyDescent="0.3">
      <c r="A592" s="6" t="s">
        <v>892</v>
      </c>
      <c r="B592" s="6" t="s">
        <v>1015</v>
      </c>
      <c r="C592" s="2">
        <f>DATE(2025,5,21)+TIME(15,9,49)</f>
        <v>45798.63181712963</v>
      </c>
      <c r="D592" s="1" t="s">
        <v>11</v>
      </c>
      <c r="E592" s="1" t="s">
        <v>12</v>
      </c>
      <c r="F592" s="1" t="s">
        <v>66</v>
      </c>
    </row>
    <row r="593" spans="1:6" ht="15.6" x14ac:dyDescent="0.3">
      <c r="A593" s="6" t="s">
        <v>1016</v>
      </c>
      <c r="B593" s="6" t="s">
        <v>1017</v>
      </c>
      <c r="C593" s="4">
        <f>DATE(2025,5,21)+TIME(11,11,16)</f>
        <v>45798.466157407405</v>
      </c>
      <c r="D593" s="3" t="s">
        <v>72</v>
      </c>
      <c r="E593" s="3" t="s">
        <v>1018</v>
      </c>
      <c r="F593" s="3" t="s">
        <v>4</v>
      </c>
    </row>
    <row r="594" spans="1:6" ht="15.6" x14ac:dyDescent="0.3">
      <c r="A594" s="6" t="s">
        <v>253</v>
      </c>
      <c r="B594" s="6" t="s">
        <v>1019</v>
      </c>
      <c r="C594" s="2">
        <f>DATE(2025,5,20)+TIME(16,55,55)</f>
        <v>45797.705497685187</v>
      </c>
      <c r="D594" s="1" t="s">
        <v>72</v>
      </c>
      <c r="E594" s="1" t="s">
        <v>223</v>
      </c>
      <c r="F594" s="1" t="s">
        <v>4</v>
      </c>
    </row>
    <row r="595" spans="1:6" ht="15.6" x14ac:dyDescent="0.3">
      <c r="A595" s="6" t="s">
        <v>952</v>
      </c>
      <c r="B595" s="6" t="s">
        <v>1020</v>
      </c>
      <c r="C595" s="4">
        <f>DATE(2025,5,20)+TIME(16,35,5)</f>
        <v>45797.691030092596</v>
      </c>
      <c r="D595" s="3" t="s">
        <v>90</v>
      </c>
      <c r="E595" s="3" t="s">
        <v>521</v>
      </c>
      <c r="F595" s="3" t="s">
        <v>84</v>
      </c>
    </row>
    <row r="596" spans="1:6" ht="15.6" x14ac:dyDescent="0.3">
      <c r="A596" s="6" t="s">
        <v>415</v>
      </c>
      <c r="B596" s="6" t="s">
        <v>1021</v>
      </c>
      <c r="C596" s="2">
        <f>DATE(2025,5,20)+TIME(10,44,14)</f>
        <v>45797.447384259256</v>
      </c>
      <c r="D596" s="1" t="s">
        <v>72</v>
      </c>
      <c r="E596" s="1" t="s">
        <v>1018</v>
      </c>
      <c r="F596" s="1" t="s">
        <v>92</v>
      </c>
    </row>
    <row r="597" spans="1:6" ht="15.6" x14ac:dyDescent="0.3">
      <c r="A597" s="6" t="s">
        <v>113</v>
      </c>
      <c r="B597" s="6" t="s">
        <v>1022</v>
      </c>
      <c r="C597" s="4">
        <f>DATE(2025,5,20)+TIME(10,43,38)</f>
        <v>45797.446967592594</v>
      </c>
      <c r="D597" s="3" t="s">
        <v>72</v>
      </c>
      <c r="E597" s="3" t="s">
        <v>1018</v>
      </c>
      <c r="F597" s="3" t="s">
        <v>4</v>
      </c>
    </row>
    <row r="598" spans="1:6" ht="15.6" x14ac:dyDescent="0.3">
      <c r="A598" s="6" t="s">
        <v>1023</v>
      </c>
      <c r="B598" s="6" t="s">
        <v>1024</v>
      </c>
      <c r="C598" s="2">
        <f>DATE(2025,5,20)+TIME(9,32,2)</f>
        <v>45797.397245370368</v>
      </c>
      <c r="D598" s="1" t="s">
        <v>72</v>
      </c>
      <c r="E598" s="1" t="s">
        <v>1018</v>
      </c>
      <c r="F598" s="1" t="s">
        <v>84</v>
      </c>
    </row>
    <row r="599" spans="1:6" ht="15.6" x14ac:dyDescent="0.3">
      <c r="A599" s="6" t="s">
        <v>1025</v>
      </c>
      <c r="B599" s="6" t="s">
        <v>1026</v>
      </c>
      <c r="C599" s="4">
        <f>DATE(2025,5,19)+TIME(16,33,43)</f>
        <v>45796.690081018518</v>
      </c>
      <c r="D599" s="3" t="s">
        <v>87</v>
      </c>
      <c r="E599" s="3" t="s">
        <v>414</v>
      </c>
      <c r="F599" s="3" t="s">
        <v>66</v>
      </c>
    </row>
    <row r="600" spans="1:6" ht="15.6" x14ac:dyDescent="0.3">
      <c r="A600" s="6" t="s">
        <v>1027</v>
      </c>
      <c r="B600" s="6" t="s">
        <v>1028</v>
      </c>
      <c r="C600" s="2">
        <f>DATE(2025,5,19)+TIME(15,35,7)</f>
        <v>45796.649386574078</v>
      </c>
      <c r="D600" s="1" t="s">
        <v>48</v>
      </c>
      <c r="E600" s="1" t="s">
        <v>972</v>
      </c>
      <c r="F600" s="1" t="s">
        <v>92</v>
      </c>
    </row>
    <row r="601" spans="1:6" ht="15.6" x14ac:dyDescent="0.3">
      <c r="A601" s="6" t="s">
        <v>1029</v>
      </c>
      <c r="B601" s="6" t="s">
        <v>78</v>
      </c>
      <c r="C601" s="4">
        <f>DATE(2025,5,19)+TIME(9,39,46)</f>
        <v>45796.402615740742</v>
      </c>
      <c r="D601" s="3" t="s">
        <v>72</v>
      </c>
      <c r="E601" s="3" t="s">
        <v>223</v>
      </c>
      <c r="F601" s="3" t="s">
        <v>4</v>
      </c>
    </row>
    <row r="602" spans="1:6" ht="15.6" x14ac:dyDescent="0.3">
      <c r="A602" s="6" t="s">
        <v>275</v>
      </c>
      <c r="B602" s="6" t="s">
        <v>1030</v>
      </c>
      <c r="C602" s="2">
        <f>DATE(2025,5,19)+TIME(9,34,46)</f>
        <v>45796.399143518516</v>
      </c>
      <c r="D602" s="1" t="s">
        <v>90</v>
      </c>
      <c r="E602" s="1" t="s">
        <v>521</v>
      </c>
      <c r="F602" s="1" t="s">
        <v>24</v>
      </c>
    </row>
    <row r="603" spans="1:6" ht="31.2" x14ac:dyDescent="0.3">
      <c r="A603" s="6" t="s">
        <v>407</v>
      </c>
      <c r="B603" s="6" t="s">
        <v>1031</v>
      </c>
      <c r="C603" s="4">
        <f>DATE(2025,5,19)+TIME(9,28,27)</f>
        <v>45796.394756944443</v>
      </c>
      <c r="D603" s="3" t="s">
        <v>2</v>
      </c>
      <c r="E603" s="3" t="s">
        <v>238</v>
      </c>
      <c r="F603" s="3" t="s">
        <v>19</v>
      </c>
    </row>
    <row r="604" spans="1:6" ht="15.6" x14ac:dyDescent="0.3">
      <c r="A604" s="6" t="s">
        <v>718</v>
      </c>
      <c r="B604" s="6" t="s">
        <v>1032</v>
      </c>
      <c r="C604" s="2">
        <f>DATE(2025,5,19)+TIME(8,25,13)</f>
        <v>45796.350844907407</v>
      </c>
      <c r="D604" s="1" t="s">
        <v>90</v>
      </c>
      <c r="E604" s="1" t="s">
        <v>521</v>
      </c>
      <c r="F604" s="1" t="s">
        <v>4</v>
      </c>
    </row>
    <row r="605" spans="1:6" ht="15.6" x14ac:dyDescent="0.3">
      <c r="A605" s="6" t="s">
        <v>668</v>
      </c>
      <c r="B605" s="6" t="s">
        <v>1033</v>
      </c>
      <c r="C605" s="4">
        <f>DATE(2025,5,18)+TIME(19,10,52)</f>
        <v>45795.799212962964</v>
      </c>
      <c r="D605" s="3" t="s">
        <v>90</v>
      </c>
      <c r="E605" s="3" t="s">
        <v>521</v>
      </c>
      <c r="F605" s="3" t="s">
        <v>4</v>
      </c>
    </row>
    <row r="606" spans="1:6" ht="15.6" x14ac:dyDescent="0.3">
      <c r="A606" s="6" t="s">
        <v>415</v>
      </c>
      <c r="B606" s="6" t="s">
        <v>1034</v>
      </c>
      <c r="C606" s="2">
        <f>DATE(2025,5,18)+TIME(15,35,52)</f>
        <v>45795.649907407409</v>
      </c>
      <c r="D606" s="1" t="s">
        <v>87</v>
      </c>
      <c r="E606" s="1" t="s">
        <v>414</v>
      </c>
      <c r="F606" s="1" t="s">
        <v>4</v>
      </c>
    </row>
    <row r="607" spans="1:6" ht="15.6" x14ac:dyDescent="0.3">
      <c r="A607" s="6" t="s">
        <v>275</v>
      </c>
      <c r="B607" s="6" t="s">
        <v>1035</v>
      </c>
      <c r="C607" s="4">
        <f>DATE(2025,5,18)+TIME(11,7,58)</f>
        <v>45795.463865740741</v>
      </c>
      <c r="D607" s="3" t="s">
        <v>60</v>
      </c>
      <c r="E607" s="3" t="s">
        <v>366</v>
      </c>
      <c r="F607" s="3" t="s">
        <v>4</v>
      </c>
    </row>
    <row r="608" spans="1:6" ht="15.6" x14ac:dyDescent="0.3">
      <c r="A608" s="6" t="s">
        <v>40</v>
      </c>
      <c r="B608" s="6" t="s">
        <v>1036</v>
      </c>
      <c r="C608" s="2">
        <f>DATE(2025,5,17)+TIME(20,50,58)</f>
        <v>45794.868726851855</v>
      </c>
      <c r="D608" s="1" t="s">
        <v>60</v>
      </c>
      <c r="E608" s="1" t="s">
        <v>366</v>
      </c>
      <c r="F608" s="1" t="s">
        <v>4</v>
      </c>
    </row>
    <row r="609" spans="1:6" ht="15.6" x14ac:dyDescent="0.3">
      <c r="A609" s="6" t="s">
        <v>131</v>
      </c>
      <c r="B609" s="6" t="s">
        <v>891</v>
      </c>
      <c r="C609" s="4">
        <f>DATE(2025,5,17)+TIME(15,53,21)</f>
        <v>45794.662048611113</v>
      </c>
      <c r="D609" s="3" t="s">
        <v>60</v>
      </c>
      <c r="E609" s="3" t="s">
        <v>366</v>
      </c>
      <c r="F609" s="3" t="s">
        <v>130</v>
      </c>
    </row>
    <row r="610" spans="1:6" ht="15.6" x14ac:dyDescent="0.3">
      <c r="A610" s="6" t="s">
        <v>1037</v>
      </c>
      <c r="B610" s="6" t="s">
        <v>1038</v>
      </c>
      <c r="C610" s="2">
        <f>DATE(2025,5,17)+TIME(15,52,2)</f>
        <v>45794.661134259259</v>
      </c>
      <c r="D610" s="1" t="s">
        <v>60</v>
      </c>
      <c r="E610" s="1" t="s">
        <v>366</v>
      </c>
      <c r="F610" s="1" t="s">
        <v>76</v>
      </c>
    </row>
    <row r="611" spans="1:6" ht="15.6" x14ac:dyDescent="0.3">
      <c r="A611" s="6" t="s">
        <v>40</v>
      </c>
      <c r="B611" s="6" t="s">
        <v>1039</v>
      </c>
      <c r="C611" s="4">
        <f>DATE(2025,5,17)+TIME(12,34,33)</f>
        <v>45794.523993055554</v>
      </c>
      <c r="D611" s="3" t="s">
        <v>60</v>
      </c>
      <c r="E611" s="3" t="s">
        <v>366</v>
      </c>
      <c r="F611" s="3" t="s">
        <v>24</v>
      </c>
    </row>
    <row r="612" spans="1:6" ht="15.6" x14ac:dyDescent="0.3">
      <c r="A612" s="6" t="s">
        <v>1040</v>
      </c>
      <c r="B612" s="6" t="s">
        <v>1041</v>
      </c>
      <c r="C612" s="2">
        <f>DATE(2025,5,17)+TIME(11,22,43)</f>
        <v>45794.474108796298</v>
      </c>
      <c r="D612" s="1" t="s">
        <v>60</v>
      </c>
      <c r="E612" s="1" t="s">
        <v>366</v>
      </c>
      <c r="F612" s="1" t="s">
        <v>84</v>
      </c>
    </row>
    <row r="613" spans="1:6" ht="15.6" x14ac:dyDescent="0.3">
      <c r="A613" s="6" t="s">
        <v>269</v>
      </c>
      <c r="B613" s="6" t="s">
        <v>1042</v>
      </c>
      <c r="C613" s="4">
        <f>DATE(2025,5,17)+TIME(11,10,29)</f>
        <v>45794.465613425928</v>
      </c>
      <c r="D613" s="3" t="s">
        <v>60</v>
      </c>
      <c r="E613" s="3" t="s">
        <v>366</v>
      </c>
      <c r="F613" s="3" t="s">
        <v>4</v>
      </c>
    </row>
    <row r="614" spans="1:6" ht="15.6" x14ac:dyDescent="0.3">
      <c r="A614" s="6" t="s">
        <v>1043</v>
      </c>
      <c r="B614" s="6" t="s">
        <v>1044</v>
      </c>
      <c r="C614" s="2">
        <f>DATE(2025,5,17)+TIME(10,48,35)</f>
        <v>45794.45040509259</v>
      </c>
      <c r="D614" s="1" t="s">
        <v>60</v>
      </c>
      <c r="E614" s="1" t="s">
        <v>366</v>
      </c>
      <c r="F614" s="1" t="s">
        <v>154</v>
      </c>
    </row>
    <row r="615" spans="1:6" ht="15.6" x14ac:dyDescent="0.3">
      <c r="A615" s="6" t="s">
        <v>326</v>
      </c>
      <c r="B615" s="6" t="s">
        <v>1045</v>
      </c>
      <c r="C615" s="4">
        <f>DATE(2025,5,16)+TIME(22,42,26)</f>
        <v>45793.946134259262</v>
      </c>
      <c r="D615" s="3" t="s">
        <v>48</v>
      </c>
      <c r="E615" s="3" t="s">
        <v>1046</v>
      </c>
      <c r="F615" s="3" t="s">
        <v>76</v>
      </c>
    </row>
    <row r="616" spans="1:6" ht="15.6" x14ac:dyDescent="0.3">
      <c r="A616" s="6" t="s">
        <v>28</v>
      </c>
      <c r="B616" s="6" t="s">
        <v>1047</v>
      </c>
      <c r="C616" s="2">
        <f>DATE(2025,5,16)+TIME(22,42,7)</f>
        <v>45793.945914351854</v>
      </c>
      <c r="D616" s="1" t="s">
        <v>72</v>
      </c>
      <c r="E616" s="1" t="s">
        <v>223</v>
      </c>
      <c r="F616" s="1" t="s">
        <v>4</v>
      </c>
    </row>
    <row r="617" spans="1:6" ht="15.6" x14ac:dyDescent="0.3">
      <c r="A617" s="6" t="s">
        <v>1048</v>
      </c>
      <c r="B617" s="6" t="s">
        <v>1049</v>
      </c>
      <c r="C617" s="4">
        <f>DATE(2025,5,16)+TIME(16,56,45)</f>
        <v>45793.706076388888</v>
      </c>
      <c r="D617" s="3" t="s">
        <v>60</v>
      </c>
      <c r="E617" s="3" t="s">
        <v>103</v>
      </c>
      <c r="F617" s="3" t="s">
        <v>84</v>
      </c>
    </row>
    <row r="618" spans="1:6" ht="15.6" x14ac:dyDescent="0.3">
      <c r="A618" s="6" t="s">
        <v>1050</v>
      </c>
      <c r="B618" s="6" t="s">
        <v>1051</v>
      </c>
      <c r="C618" s="2">
        <f>DATE(2025,5,16)+TIME(16,40,17)</f>
        <v>45793.694641203707</v>
      </c>
      <c r="D618" s="1" t="s">
        <v>87</v>
      </c>
      <c r="E618" s="1" t="s">
        <v>414</v>
      </c>
      <c r="F618" s="1" t="s">
        <v>4</v>
      </c>
    </row>
    <row r="619" spans="1:6" ht="15.6" x14ac:dyDescent="0.3">
      <c r="A619" s="6" t="s">
        <v>564</v>
      </c>
      <c r="B619" s="6" t="s">
        <v>89</v>
      </c>
      <c r="C619" s="4">
        <f>DATE(2025,5,16)+TIME(16,13,56)</f>
        <v>45793.676342592589</v>
      </c>
      <c r="D619" s="3" t="s">
        <v>72</v>
      </c>
      <c r="E619" s="3" t="s">
        <v>223</v>
      </c>
      <c r="F619" s="3" t="s">
        <v>172</v>
      </c>
    </row>
    <row r="620" spans="1:6" ht="15.6" x14ac:dyDescent="0.3">
      <c r="A620" s="6" t="s">
        <v>5</v>
      </c>
      <c r="B620" s="6" t="s">
        <v>1052</v>
      </c>
      <c r="C620" s="2">
        <f>DATE(2025,5,16)+TIME(16,7,49)</f>
        <v>45793.672094907408</v>
      </c>
      <c r="D620" s="1" t="s">
        <v>90</v>
      </c>
      <c r="E620" s="1" t="s">
        <v>521</v>
      </c>
      <c r="F620" s="1" t="s">
        <v>4</v>
      </c>
    </row>
    <row r="621" spans="1:6" ht="15.6" x14ac:dyDescent="0.3">
      <c r="A621" s="6" t="s">
        <v>1053</v>
      </c>
      <c r="B621" s="6" t="s">
        <v>1054</v>
      </c>
      <c r="C621" s="4">
        <f>DATE(2025,5,16)+TIME(16,6,31)</f>
        <v>45793.67119212963</v>
      </c>
      <c r="D621" s="3" t="s">
        <v>48</v>
      </c>
      <c r="E621" s="3" t="s">
        <v>972</v>
      </c>
      <c r="F621" s="3" t="s">
        <v>172</v>
      </c>
    </row>
    <row r="622" spans="1:6" ht="15.6" x14ac:dyDescent="0.3">
      <c r="A622" s="6" t="s">
        <v>1055</v>
      </c>
      <c r="B622" s="6" t="s">
        <v>309</v>
      </c>
      <c r="C622" s="2">
        <f>DATE(2025,5,16)+TIME(15,54,43)</f>
        <v>45793.662997685184</v>
      </c>
      <c r="D622" s="1" t="s">
        <v>87</v>
      </c>
      <c r="E622" s="1" t="s">
        <v>414</v>
      </c>
      <c r="F622" s="1" t="s">
        <v>4</v>
      </c>
    </row>
    <row r="623" spans="1:6" ht="15.6" x14ac:dyDescent="0.3">
      <c r="A623" s="6" t="s">
        <v>415</v>
      </c>
      <c r="B623" s="6" t="s">
        <v>1056</v>
      </c>
      <c r="C623" s="4">
        <f>DATE(2025,5,16)+TIME(15,51,48)</f>
        <v>45793.66097222222</v>
      </c>
      <c r="D623" s="3" t="s">
        <v>90</v>
      </c>
      <c r="E623" s="3" t="s">
        <v>521</v>
      </c>
      <c r="F623" s="3" t="s">
        <v>19</v>
      </c>
    </row>
    <row r="624" spans="1:6" ht="15.6" x14ac:dyDescent="0.3">
      <c r="A624" s="6" t="s">
        <v>625</v>
      </c>
      <c r="B624" s="6" t="s">
        <v>1057</v>
      </c>
      <c r="C624" s="2">
        <f>DATE(2025,5,16)+TIME(15,49,14)</f>
        <v>45793.659189814818</v>
      </c>
      <c r="D624" s="1" t="s">
        <v>90</v>
      </c>
      <c r="E624" s="1" t="s">
        <v>521</v>
      </c>
      <c r="F624" s="1" t="s">
        <v>154</v>
      </c>
    </row>
    <row r="625" spans="1:6" ht="15.6" x14ac:dyDescent="0.3">
      <c r="A625" s="6" t="s">
        <v>1058</v>
      </c>
      <c r="B625" s="6" t="s">
        <v>1059</v>
      </c>
      <c r="C625" s="4">
        <f>DATE(2025,5,16)+TIME(15,47,1)</f>
        <v>45793.657650462963</v>
      </c>
      <c r="D625" s="3" t="s">
        <v>22</v>
      </c>
      <c r="E625" s="3" t="s">
        <v>69</v>
      </c>
      <c r="F625" s="3" t="s">
        <v>76</v>
      </c>
    </row>
    <row r="626" spans="1:6" ht="15.6" x14ac:dyDescent="0.3">
      <c r="A626" s="6" t="s">
        <v>310</v>
      </c>
      <c r="B626" s="6" t="s">
        <v>1060</v>
      </c>
      <c r="C626" s="2">
        <f>DATE(2025,5,16)+TIME(15,45,48)</f>
        <v>45793.656805555554</v>
      </c>
      <c r="D626" s="1" t="s">
        <v>90</v>
      </c>
      <c r="E626" s="1" t="s">
        <v>521</v>
      </c>
      <c r="F626" s="1" t="s">
        <v>154</v>
      </c>
    </row>
    <row r="627" spans="1:6" ht="15.6" x14ac:dyDescent="0.3">
      <c r="A627" s="6" t="s">
        <v>5</v>
      </c>
      <c r="B627" s="6" t="s">
        <v>1061</v>
      </c>
      <c r="C627" s="4">
        <f>DATE(2025,5,16)+TIME(15,24,34)</f>
        <v>45793.642060185186</v>
      </c>
      <c r="D627" s="3" t="s">
        <v>87</v>
      </c>
      <c r="E627" s="3" t="s">
        <v>414</v>
      </c>
      <c r="F627" s="3" t="s">
        <v>4</v>
      </c>
    </row>
    <row r="628" spans="1:6" ht="15.6" x14ac:dyDescent="0.3">
      <c r="A628" s="6" t="s">
        <v>1062</v>
      </c>
      <c r="B628" s="6" t="s">
        <v>1063</v>
      </c>
      <c r="C628" s="2">
        <f>DATE(2025,5,16)+TIME(15,15,52)</f>
        <v>45793.636018518519</v>
      </c>
      <c r="D628" s="1" t="s">
        <v>72</v>
      </c>
      <c r="E628" s="1" t="s">
        <v>223</v>
      </c>
      <c r="F628" s="1" t="s">
        <v>4</v>
      </c>
    </row>
    <row r="629" spans="1:6" ht="15.6" x14ac:dyDescent="0.3">
      <c r="A629" s="6" t="s">
        <v>1064</v>
      </c>
      <c r="B629" s="6" t="s">
        <v>1065</v>
      </c>
      <c r="C629" s="4">
        <f>DATE(2025,5,16)+TIME(15,1,36)</f>
        <v>45793.626111111109</v>
      </c>
      <c r="D629" s="3" t="s">
        <v>22</v>
      </c>
      <c r="E629" s="3" t="s">
        <v>69</v>
      </c>
      <c r="F629" s="3" t="s">
        <v>141</v>
      </c>
    </row>
    <row r="630" spans="1:6" ht="31.2" x14ac:dyDescent="0.3">
      <c r="A630" s="6" t="s">
        <v>1066</v>
      </c>
      <c r="B630" s="6" t="s">
        <v>78</v>
      </c>
      <c r="C630" s="2">
        <f>DATE(2025,5,16)+TIME(14,49,16)</f>
        <v>45793.617546296293</v>
      </c>
      <c r="D630" s="1" t="s">
        <v>87</v>
      </c>
      <c r="E630" s="1" t="s">
        <v>414</v>
      </c>
      <c r="F630" s="1" t="s">
        <v>57</v>
      </c>
    </row>
    <row r="631" spans="1:6" ht="15.6" x14ac:dyDescent="0.3">
      <c r="A631" s="6" t="s">
        <v>385</v>
      </c>
      <c r="B631" s="6" t="s">
        <v>1067</v>
      </c>
      <c r="C631" s="4">
        <f>DATE(2025,5,16)+TIME(14,44,36)</f>
        <v>45793.614305555559</v>
      </c>
      <c r="D631" s="3" t="s">
        <v>87</v>
      </c>
      <c r="E631" s="3" t="s">
        <v>414</v>
      </c>
      <c r="F631" s="3" t="s">
        <v>172</v>
      </c>
    </row>
    <row r="632" spans="1:6" ht="15.6" x14ac:dyDescent="0.3">
      <c r="A632" s="6" t="s">
        <v>445</v>
      </c>
      <c r="B632" s="6" t="s">
        <v>1068</v>
      </c>
      <c r="C632" s="2">
        <f>DATE(2025,5,16)+TIME(14,37,21)</f>
        <v>45793.609270833331</v>
      </c>
      <c r="D632" s="1" t="s">
        <v>87</v>
      </c>
      <c r="E632" s="1" t="s">
        <v>414</v>
      </c>
      <c r="F632" s="1" t="s">
        <v>159</v>
      </c>
    </row>
    <row r="633" spans="1:6" ht="15.6" x14ac:dyDescent="0.3">
      <c r="A633" s="6" t="s">
        <v>1069</v>
      </c>
      <c r="B633" s="6" t="s">
        <v>215</v>
      </c>
      <c r="C633" s="4">
        <f>DATE(2025,5,16)+TIME(14,25,10)</f>
        <v>45793.600810185184</v>
      </c>
      <c r="D633" s="3" t="s">
        <v>87</v>
      </c>
      <c r="E633" s="3" t="s">
        <v>414</v>
      </c>
      <c r="F633" s="3" t="s">
        <v>154</v>
      </c>
    </row>
    <row r="634" spans="1:6" ht="15.6" x14ac:dyDescent="0.3">
      <c r="A634" s="6" t="s">
        <v>524</v>
      </c>
      <c r="B634" s="6" t="s">
        <v>1070</v>
      </c>
      <c r="C634" s="2">
        <f>DATE(2025,5,16)+TIME(13,34,16)</f>
        <v>45793.565462962964</v>
      </c>
      <c r="D634" s="1" t="s">
        <v>48</v>
      </c>
      <c r="E634" s="1" t="s">
        <v>972</v>
      </c>
      <c r="F634" s="1" t="s">
        <v>159</v>
      </c>
    </row>
    <row r="635" spans="1:6" ht="15.6" x14ac:dyDescent="0.3">
      <c r="A635" s="6" t="s">
        <v>680</v>
      </c>
      <c r="B635" s="6" t="s">
        <v>663</v>
      </c>
      <c r="C635" s="4">
        <f>DATE(2025,5,16)+TIME(13,24,54)</f>
        <v>45793.558958333335</v>
      </c>
      <c r="D635" s="3" t="s">
        <v>72</v>
      </c>
      <c r="E635" s="3" t="s">
        <v>223</v>
      </c>
      <c r="F635" s="3" t="s">
        <v>130</v>
      </c>
    </row>
    <row r="636" spans="1:6" ht="31.2" x14ac:dyDescent="0.3">
      <c r="A636" s="6" t="s">
        <v>228</v>
      </c>
      <c r="B636" s="6" t="s">
        <v>1071</v>
      </c>
      <c r="C636" s="2">
        <f>DATE(2025,5,16)+TIME(13,15,45)</f>
        <v>45793.552604166667</v>
      </c>
      <c r="D636" s="1" t="s">
        <v>48</v>
      </c>
      <c r="E636" s="1" t="s">
        <v>972</v>
      </c>
      <c r="F636" s="1" t="s">
        <v>57</v>
      </c>
    </row>
    <row r="637" spans="1:6" ht="31.2" x14ac:dyDescent="0.3">
      <c r="A637" s="6" t="s">
        <v>654</v>
      </c>
      <c r="B637" s="6" t="s">
        <v>1072</v>
      </c>
      <c r="C637" s="4">
        <f>DATE(2025,5,16)+TIME(13,14,1)</f>
        <v>45793.551400462966</v>
      </c>
      <c r="D637" s="3" t="s">
        <v>48</v>
      </c>
      <c r="E637" s="3" t="s">
        <v>1073</v>
      </c>
      <c r="F637" s="3" t="s">
        <v>4</v>
      </c>
    </row>
    <row r="638" spans="1:6" ht="15.6" x14ac:dyDescent="0.3">
      <c r="A638" s="6" t="s">
        <v>678</v>
      </c>
      <c r="B638" s="6" t="s">
        <v>1074</v>
      </c>
      <c r="C638" s="2">
        <f>DATE(2025,5,16)+TIME(13,8,28)</f>
        <v>45793.547546296293</v>
      </c>
      <c r="D638" s="1" t="s">
        <v>48</v>
      </c>
      <c r="E638" s="1" t="s">
        <v>972</v>
      </c>
      <c r="F638" s="1" t="s">
        <v>4</v>
      </c>
    </row>
    <row r="639" spans="1:6" ht="15.6" x14ac:dyDescent="0.3">
      <c r="A639" s="6" t="s">
        <v>271</v>
      </c>
      <c r="B639" s="6" t="s">
        <v>1075</v>
      </c>
      <c r="C639" s="4">
        <f>DATE(2025,5,16)+TIME(12,59,52)</f>
        <v>45793.541574074072</v>
      </c>
      <c r="D639" s="3" t="s">
        <v>48</v>
      </c>
      <c r="E639" s="3" t="s">
        <v>972</v>
      </c>
      <c r="F639" s="3" t="s">
        <v>159</v>
      </c>
    </row>
    <row r="640" spans="1:6" ht="15.6" x14ac:dyDescent="0.3">
      <c r="A640" s="6" t="s">
        <v>1076</v>
      </c>
      <c r="B640" s="6" t="s">
        <v>1077</v>
      </c>
      <c r="C640" s="2">
        <f>DATE(2025,5,16)+TIME(12,55,24)</f>
        <v>45793.538472222222</v>
      </c>
      <c r="D640" s="1" t="s">
        <v>48</v>
      </c>
      <c r="E640" s="1" t="s">
        <v>972</v>
      </c>
      <c r="F640" s="1" t="s">
        <v>24</v>
      </c>
    </row>
    <row r="641" spans="1:6" ht="15.6" x14ac:dyDescent="0.3">
      <c r="A641" s="6" t="s">
        <v>762</v>
      </c>
      <c r="B641" s="6" t="s">
        <v>1078</v>
      </c>
      <c r="C641" s="4">
        <f>DATE(2025,5,16)+TIME(12,44,35)</f>
        <v>45793.530960648146</v>
      </c>
      <c r="D641" s="3" t="s">
        <v>72</v>
      </c>
      <c r="E641" s="3" t="s">
        <v>223</v>
      </c>
      <c r="F641" s="3" t="s">
        <v>84</v>
      </c>
    </row>
    <row r="642" spans="1:6" ht="15.6" x14ac:dyDescent="0.3">
      <c r="A642" s="6" t="s">
        <v>1079</v>
      </c>
      <c r="B642" s="6" t="s">
        <v>1080</v>
      </c>
      <c r="C642" s="2">
        <f>DATE(2025,5,16)+TIME(12,43,2)</f>
        <v>45793.52988425926</v>
      </c>
      <c r="D642" s="1" t="s">
        <v>72</v>
      </c>
      <c r="E642" s="1" t="s">
        <v>223</v>
      </c>
      <c r="F642" s="1" t="s">
        <v>66</v>
      </c>
    </row>
    <row r="643" spans="1:6" ht="15.6" x14ac:dyDescent="0.3">
      <c r="A643" s="6" t="s">
        <v>444</v>
      </c>
      <c r="B643" s="6" t="s">
        <v>967</v>
      </c>
      <c r="C643" s="4">
        <f>DATE(2025,5,16)+TIME(12,34,23)</f>
        <v>45793.523877314816</v>
      </c>
      <c r="D643" s="3" t="s">
        <v>72</v>
      </c>
      <c r="E643" s="3" t="s">
        <v>223</v>
      </c>
      <c r="F643" s="3" t="s">
        <v>154</v>
      </c>
    </row>
    <row r="644" spans="1:6" ht="15.6" x14ac:dyDescent="0.3">
      <c r="A644" s="6" t="s">
        <v>1081</v>
      </c>
      <c r="B644" s="6" t="s">
        <v>1082</v>
      </c>
      <c r="C644" s="2">
        <f>DATE(2025,5,16)+TIME(12,28,31)</f>
        <v>45793.519803240742</v>
      </c>
      <c r="D644" s="1" t="s">
        <v>48</v>
      </c>
      <c r="E644" s="1" t="s">
        <v>972</v>
      </c>
      <c r="F644" s="1" t="s">
        <v>66</v>
      </c>
    </row>
    <row r="645" spans="1:6" ht="31.2" x14ac:dyDescent="0.3">
      <c r="A645" s="6" t="s">
        <v>1083</v>
      </c>
      <c r="B645" s="6" t="s">
        <v>233</v>
      </c>
      <c r="C645" s="4">
        <f>DATE(2025,5,16)+TIME(11,40,8)</f>
        <v>45793.486203703702</v>
      </c>
      <c r="D645" s="3" t="s">
        <v>48</v>
      </c>
      <c r="E645" s="3" t="s">
        <v>1073</v>
      </c>
      <c r="F645" s="3" t="s">
        <v>172</v>
      </c>
    </row>
    <row r="646" spans="1:6" ht="15.6" x14ac:dyDescent="0.3">
      <c r="A646" s="6" t="s">
        <v>1084</v>
      </c>
      <c r="B646" s="6" t="s">
        <v>39</v>
      </c>
      <c r="C646" s="2">
        <f>DATE(2025,5,16)+TIME(11,25,12)</f>
        <v>45793.47583333333</v>
      </c>
      <c r="D646" s="1" t="s">
        <v>48</v>
      </c>
      <c r="E646" s="1" t="s">
        <v>972</v>
      </c>
      <c r="F646" s="1" t="s">
        <v>4</v>
      </c>
    </row>
    <row r="647" spans="1:6" ht="15.6" x14ac:dyDescent="0.3">
      <c r="A647" s="6" t="s">
        <v>637</v>
      </c>
      <c r="B647" s="6" t="s">
        <v>1085</v>
      </c>
      <c r="C647" s="4">
        <f>DATE(2025,5,16)+TIME(11,13,14)</f>
        <v>45793.467523148145</v>
      </c>
      <c r="D647" s="3" t="s">
        <v>48</v>
      </c>
      <c r="E647" s="3" t="s">
        <v>1046</v>
      </c>
      <c r="F647" s="3" t="s">
        <v>130</v>
      </c>
    </row>
    <row r="648" spans="1:6" ht="15.6" x14ac:dyDescent="0.3">
      <c r="A648" s="6" t="s">
        <v>310</v>
      </c>
      <c r="B648" s="6" t="s">
        <v>1086</v>
      </c>
      <c r="C648" s="2">
        <f>DATE(2025,5,16)+TIME(11,10,18)</f>
        <v>45793.465486111112</v>
      </c>
      <c r="D648" s="1" t="s">
        <v>48</v>
      </c>
      <c r="E648" s="1" t="s">
        <v>1046</v>
      </c>
      <c r="F648" s="1" t="s">
        <v>4</v>
      </c>
    </row>
    <row r="649" spans="1:6" ht="15.6" x14ac:dyDescent="0.3">
      <c r="A649" s="6" t="s">
        <v>352</v>
      </c>
      <c r="B649" s="6" t="s">
        <v>1087</v>
      </c>
      <c r="C649" s="4">
        <f>DATE(2025,5,16)+TIME(11,5,18)</f>
        <v>45793.462013888886</v>
      </c>
      <c r="D649" s="3" t="s">
        <v>48</v>
      </c>
      <c r="E649" s="3" t="s">
        <v>1046</v>
      </c>
      <c r="F649" s="3" t="s">
        <v>4</v>
      </c>
    </row>
    <row r="650" spans="1:6" ht="15.6" x14ac:dyDescent="0.3">
      <c r="A650" s="6" t="s">
        <v>584</v>
      </c>
      <c r="B650" s="6" t="s">
        <v>1088</v>
      </c>
      <c r="C650" s="2">
        <f>DATE(2025,5,16)+TIME(10,55,57)</f>
        <v>45793.455520833333</v>
      </c>
      <c r="D650" s="1" t="s">
        <v>48</v>
      </c>
      <c r="E650" s="1" t="s">
        <v>1046</v>
      </c>
      <c r="F650" s="1" t="s">
        <v>24</v>
      </c>
    </row>
    <row r="651" spans="1:6" ht="15.6" x14ac:dyDescent="0.3">
      <c r="A651" s="6" t="s">
        <v>301</v>
      </c>
      <c r="B651" s="6" t="s">
        <v>1089</v>
      </c>
      <c r="C651" s="4">
        <f>DATE(2025,5,16)+TIME(10,55,44)</f>
        <v>45793.455370370371</v>
      </c>
      <c r="D651" s="3" t="s">
        <v>22</v>
      </c>
      <c r="E651" s="3" t="s">
        <v>69</v>
      </c>
      <c r="F651" s="3" t="s">
        <v>84</v>
      </c>
    </row>
    <row r="652" spans="1:6" ht="31.2" x14ac:dyDescent="0.3">
      <c r="A652" s="6" t="s">
        <v>1090</v>
      </c>
      <c r="B652" s="6" t="s">
        <v>1091</v>
      </c>
      <c r="C652" s="2">
        <f>DATE(2025,5,16)+TIME(10,51,24)</f>
        <v>45793.452361111114</v>
      </c>
      <c r="D652" s="1" t="s">
        <v>48</v>
      </c>
      <c r="E652" s="1" t="s">
        <v>1073</v>
      </c>
      <c r="F652" s="1" t="s">
        <v>112</v>
      </c>
    </row>
    <row r="653" spans="1:6" ht="15.6" x14ac:dyDescent="0.3">
      <c r="A653" s="6" t="s">
        <v>372</v>
      </c>
      <c r="B653" s="6" t="s">
        <v>1092</v>
      </c>
      <c r="C653" s="4">
        <f>DATE(2025,5,16)+TIME(10,49,28)</f>
        <v>45793.451018518521</v>
      </c>
      <c r="D653" s="3" t="s">
        <v>48</v>
      </c>
      <c r="E653" s="3" t="s">
        <v>1046</v>
      </c>
      <c r="F653" s="3" t="s">
        <v>141</v>
      </c>
    </row>
    <row r="654" spans="1:6" ht="15.6" x14ac:dyDescent="0.3">
      <c r="A654" s="6" t="s">
        <v>886</v>
      </c>
      <c r="B654" s="6" t="s">
        <v>1093</v>
      </c>
      <c r="C654" s="2">
        <f>DATE(2025,5,16)+TIME(10,47,31)</f>
        <v>45793.449664351851</v>
      </c>
      <c r="D654" s="1" t="s">
        <v>48</v>
      </c>
      <c r="E654" s="1" t="s">
        <v>1046</v>
      </c>
      <c r="F654" s="1" t="s">
        <v>19</v>
      </c>
    </row>
    <row r="655" spans="1:6" ht="31.2" x14ac:dyDescent="0.3">
      <c r="A655" s="6" t="s">
        <v>1094</v>
      </c>
      <c r="B655" s="6" t="s">
        <v>1095</v>
      </c>
      <c r="C655" s="4">
        <f>DATE(2025,5,16)+TIME(10,41,14)</f>
        <v>45793.445300925923</v>
      </c>
      <c r="D655" s="3" t="s">
        <v>48</v>
      </c>
      <c r="E655" s="3" t="s">
        <v>1073</v>
      </c>
      <c r="F655" s="3" t="s">
        <v>66</v>
      </c>
    </row>
    <row r="656" spans="1:6" ht="31.2" x14ac:dyDescent="0.3">
      <c r="A656" s="6" t="s">
        <v>1096</v>
      </c>
      <c r="B656" s="6" t="s">
        <v>1097</v>
      </c>
      <c r="C656" s="2">
        <f>DATE(2025,5,16)+TIME(10,37,6)</f>
        <v>45793.442430555559</v>
      </c>
      <c r="D656" s="1" t="s">
        <v>48</v>
      </c>
      <c r="E656" s="1" t="s">
        <v>1073</v>
      </c>
      <c r="F656" s="1" t="s">
        <v>92</v>
      </c>
    </row>
    <row r="657" spans="1:6" ht="31.2" x14ac:dyDescent="0.3">
      <c r="A657" s="6" t="s">
        <v>1098</v>
      </c>
      <c r="B657" s="6" t="s">
        <v>1099</v>
      </c>
      <c r="C657" s="4">
        <f>DATE(2025,5,16)+TIME(10,35,56)</f>
        <v>45793.441620370373</v>
      </c>
      <c r="D657" s="3" t="s">
        <v>48</v>
      </c>
      <c r="E657" s="3" t="s">
        <v>1073</v>
      </c>
      <c r="F657" s="3" t="s">
        <v>24</v>
      </c>
    </row>
    <row r="658" spans="1:6" ht="31.2" x14ac:dyDescent="0.3">
      <c r="A658" s="6" t="s">
        <v>450</v>
      </c>
      <c r="B658" s="6" t="s">
        <v>1100</v>
      </c>
      <c r="C658" s="2">
        <f>DATE(2025,5,16)+TIME(10,22,25)</f>
        <v>45793.432233796295</v>
      </c>
      <c r="D658" s="1" t="s">
        <v>48</v>
      </c>
      <c r="E658" s="1" t="s">
        <v>1073</v>
      </c>
      <c r="F658" s="1" t="s">
        <v>45</v>
      </c>
    </row>
    <row r="659" spans="1:6" ht="15.6" x14ac:dyDescent="0.3">
      <c r="A659" s="6" t="s">
        <v>1101</v>
      </c>
      <c r="B659" s="6" t="s">
        <v>1102</v>
      </c>
      <c r="C659" s="4">
        <f>DATE(2025,5,16)+TIME(9,59,42)</f>
        <v>45793.416458333333</v>
      </c>
      <c r="D659" s="3" t="s">
        <v>48</v>
      </c>
      <c r="E659" s="3" t="s">
        <v>972</v>
      </c>
      <c r="F659" s="3" t="s">
        <v>4</v>
      </c>
    </row>
    <row r="660" spans="1:6" ht="31.2" x14ac:dyDescent="0.3">
      <c r="A660" s="6" t="s">
        <v>1103</v>
      </c>
      <c r="B660" s="6" t="s">
        <v>1104</v>
      </c>
      <c r="C660" s="2">
        <f>DATE(2025,5,16)+TIME(9,56,17)</f>
        <v>45793.414085648146</v>
      </c>
      <c r="D660" s="1" t="s">
        <v>48</v>
      </c>
      <c r="E660" s="1" t="s">
        <v>1073</v>
      </c>
      <c r="F660" s="1" t="s">
        <v>24</v>
      </c>
    </row>
    <row r="661" spans="1:6" ht="15.6" x14ac:dyDescent="0.3">
      <c r="A661" s="6" t="s">
        <v>1105</v>
      </c>
      <c r="B661" s="6" t="s">
        <v>1106</v>
      </c>
      <c r="C661" s="4">
        <f>DATE(2025,5,16)+TIME(9,53,24)</f>
        <v>45793.412083333336</v>
      </c>
      <c r="D661" s="3" t="s">
        <v>72</v>
      </c>
      <c r="E661" s="3" t="s">
        <v>1018</v>
      </c>
      <c r="F661" s="3" t="s">
        <v>4</v>
      </c>
    </row>
    <row r="662" spans="1:6" ht="15.6" x14ac:dyDescent="0.3">
      <c r="A662" s="6" t="s">
        <v>28</v>
      </c>
      <c r="B662" s="6" t="s">
        <v>1107</v>
      </c>
      <c r="C662" s="2">
        <f>DATE(2025,5,16)+TIME(9,51,57)</f>
        <v>45793.411076388889</v>
      </c>
      <c r="D662" s="1" t="s">
        <v>72</v>
      </c>
      <c r="E662" s="1" t="s">
        <v>1018</v>
      </c>
      <c r="F662" s="1" t="s">
        <v>4</v>
      </c>
    </row>
    <row r="663" spans="1:6" ht="15.6" x14ac:dyDescent="0.3">
      <c r="A663" s="6" t="s">
        <v>1108</v>
      </c>
      <c r="B663" s="6" t="s">
        <v>981</v>
      </c>
      <c r="C663" s="4">
        <f>DATE(2025,5,16)+TIME(9,51,48)</f>
        <v>45793.41097222222</v>
      </c>
      <c r="D663" s="3" t="s">
        <v>48</v>
      </c>
      <c r="E663" s="3" t="s">
        <v>1046</v>
      </c>
      <c r="F663" s="3" t="s">
        <v>130</v>
      </c>
    </row>
    <row r="664" spans="1:6" ht="15.6" x14ac:dyDescent="0.3">
      <c r="A664" s="6" t="s">
        <v>339</v>
      </c>
      <c r="B664" s="6" t="s">
        <v>1109</v>
      </c>
      <c r="C664" s="2">
        <f>DATE(2025,5,16)+TIME(9,46,56)</f>
        <v>45793.407592592594</v>
      </c>
      <c r="D664" s="1" t="s">
        <v>72</v>
      </c>
      <c r="E664" s="1" t="s">
        <v>1018</v>
      </c>
      <c r="F664" s="1" t="s">
        <v>4</v>
      </c>
    </row>
    <row r="665" spans="1:6" ht="15.6" x14ac:dyDescent="0.3">
      <c r="A665" s="6" t="s">
        <v>1110</v>
      </c>
      <c r="B665" s="6" t="s">
        <v>1111</v>
      </c>
      <c r="C665" s="4">
        <f>DATE(2025,5,16)+TIME(9,46,2)</f>
        <v>45793.406967592593</v>
      </c>
      <c r="D665" s="3" t="s">
        <v>72</v>
      </c>
      <c r="E665" s="3" t="s">
        <v>1018</v>
      </c>
      <c r="F665" s="3" t="s">
        <v>172</v>
      </c>
    </row>
    <row r="666" spans="1:6" ht="15.6" x14ac:dyDescent="0.3">
      <c r="A666" s="6" t="s">
        <v>459</v>
      </c>
      <c r="B666" s="6" t="s">
        <v>1112</v>
      </c>
      <c r="C666" s="2">
        <f>DATE(2025,5,16)+TIME(9,45,31)</f>
        <v>45793.406608796293</v>
      </c>
      <c r="D666" s="1" t="s">
        <v>72</v>
      </c>
      <c r="E666" s="1" t="s">
        <v>1018</v>
      </c>
      <c r="F666" s="1" t="s">
        <v>4</v>
      </c>
    </row>
    <row r="667" spans="1:6" ht="15.6" x14ac:dyDescent="0.3">
      <c r="A667" s="6" t="s">
        <v>25</v>
      </c>
      <c r="B667" s="6" t="s">
        <v>1113</v>
      </c>
      <c r="C667" s="4">
        <f>DATE(2025,5,16)+TIME(9,45,28)</f>
        <v>45793.406574074077</v>
      </c>
      <c r="D667" s="3" t="s">
        <v>72</v>
      </c>
      <c r="E667" s="3" t="s">
        <v>1018</v>
      </c>
      <c r="F667" s="3" t="s">
        <v>19</v>
      </c>
    </row>
    <row r="668" spans="1:6" ht="31.2" x14ac:dyDescent="0.3">
      <c r="A668" s="6" t="s">
        <v>522</v>
      </c>
      <c r="B668" s="6" t="s">
        <v>1114</v>
      </c>
      <c r="C668" s="2">
        <f>DATE(2025,5,16)+TIME(9,37,6)</f>
        <v>45793.400763888887</v>
      </c>
      <c r="D668" s="1" t="s">
        <v>22</v>
      </c>
      <c r="E668" s="1" t="s">
        <v>69</v>
      </c>
      <c r="F668" s="1" t="s">
        <v>57</v>
      </c>
    </row>
    <row r="669" spans="1:6" ht="31.2" x14ac:dyDescent="0.3">
      <c r="A669" s="6" t="s">
        <v>1115</v>
      </c>
      <c r="B669" s="6" t="s">
        <v>1115</v>
      </c>
      <c r="C669" s="4">
        <f>DATE(2025,5,16)+TIME(9,16,57)</f>
        <v>45793.386770833335</v>
      </c>
      <c r="D669" s="3" t="s">
        <v>48</v>
      </c>
      <c r="E669" s="3" t="s">
        <v>1073</v>
      </c>
      <c r="F669" s="3" t="s">
        <v>154</v>
      </c>
    </row>
    <row r="670" spans="1:6" ht="15.6" x14ac:dyDescent="0.3">
      <c r="A670" s="6" t="s">
        <v>42</v>
      </c>
      <c r="B670" s="6" t="s">
        <v>1116</v>
      </c>
      <c r="C670" s="2">
        <f>DATE(2025,5,16)+TIME(8,48,30)</f>
        <v>45793.367013888892</v>
      </c>
      <c r="D670" s="1" t="s">
        <v>22</v>
      </c>
      <c r="E670" s="1" t="s">
        <v>69</v>
      </c>
      <c r="F670" s="1" t="s">
        <v>172</v>
      </c>
    </row>
    <row r="671" spans="1:6" ht="15.6" x14ac:dyDescent="0.3">
      <c r="A671" s="6" t="s">
        <v>438</v>
      </c>
      <c r="B671" s="6" t="s">
        <v>1117</v>
      </c>
      <c r="C671" s="4">
        <f>DATE(2025,5,16)+TIME(7,14,3)</f>
        <v>45793.301423611112</v>
      </c>
      <c r="D671" s="3" t="s">
        <v>87</v>
      </c>
      <c r="E671" s="3" t="s">
        <v>88</v>
      </c>
      <c r="F671" s="3" t="s">
        <v>66</v>
      </c>
    </row>
    <row r="672" spans="1:6" ht="15.6" x14ac:dyDescent="0.3">
      <c r="A672" s="6" t="s">
        <v>1118</v>
      </c>
      <c r="B672" s="6" t="s">
        <v>1119</v>
      </c>
      <c r="C672" s="2">
        <f>DATE(2025,5,15)+TIME(23,45,37)</f>
        <v>45792.990011574075</v>
      </c>
      <c r="D672" s="1" t="s">
        <v>48</v>
      </c>
      <c r="E672" s="1" t="s">
        <v>972</v>
      </c>
      <c r="F672" s="1" t="s">
        <v>19</v>
      </c>
    </row>
    <row r="673" spans="1:6" ht="15.6" x14ac:dyDescent="0.3">
      <c r="A673" s="6" t="s">
        <v>1120</v>
      </c>
      <c r="B673" s="6" t="s">
        <v>1121</v>
      </c>
      <c r="C673" s="4">
        <f>DATE(2025,5,15)+TIME(23,42,2)</f>
        <v>45792.987523148149</v>
      </c>
      <c r="D673" s="3" t="s">
        <v>48</v>
      </c>
      <c r="E673" s="3" t="s">
        <v>972</v>
      </c>
      <c r="F673" s="3" t="s">
        <v>84</v>
      </c>
    </row>
    <row r="674" spans="1:6" ht="15.6" x14ac:dyDescent="0.3">
      <c r="A674" s="6" t="s">
        <v>1122</v>
      </c>
      <c r="B674" s="6" t="s">
        <v>1123</v>
      </c>
      <c r="C674" s="2">
        <f>DATE(2025,5,15)+TIME(23,40,20)</f>
        <v>45792.986342592594</v>
      </c>
      <c r="D674" s="1" t="s">
        <v>48</v>
      </c>
      <c r="E674" s="1" t="s">
        <v>972</v>
      </c>
      <c r="F674" s="1" t="s">
        <v>76</v>
      </c>
    </row>
    <row r="675" spans="1:6" ht="15.6" x14ac:dyDescent="0.3">
      <c r="A675" s="6" t="s">
        <v>871</v>
      </c>
      <c r="B675" s="6" t="s">
        <v>1124</v>
      </c>
      <c r="C675" s="4">
        <f>DATE(2025,5,15)+TIME(23,14,50)</f>
        <v>45792.968634259261</v>
      </c>
      <c r="D675" s="3" t="s">
        <v>48</v>
      </c>
      <c r="E675" s="3" t="s">
        <v>972</v>
      </c>
      <c r="F675" s="3" t="s">
        <v>154</v>
      </c>
    </row>
    <row r="676" spans="1:6" ht="31.2" x14ac:dyDescent="0.3">
      <c r="A676" s="6" t="s">
        <v>15</v>
      </c>
      <c r="B676" s="6" t="s">
        <v>1125</v>
      </c>
      <c r="C676" s="2">
        <f>DATE(2025,5,15)+TIME(15,37,52)</f>
        <v>45792.651296296295</v>
      </c>
      <c r="D676" s="1" t="s">
        <v>48</v>
      </c>
      <c r="E676" s="1" t="s">
        <v>1126</v>
      </c>
      <c r="F676" s="1" t="s">
        <v>4</v>
      </c>
    </row>
    <row r="677" spans="1:6" ht="31.2" x14ac:dyDescent="0.3">
      <c r="A677" s="6" t="s">
        <v>77</v>
      </c>
      <c r="B677" s="6" t="s">
        <v>1127</v>
      </c>
      <c r="C677" s="4">
        <f>DATE(2025,5,15)+TIME(14,44,3)</f>
        <v>45792.613923611112</v>
      </c>
      <c r="D677" s="3" t="s">
        <v>48</v>
      </c>
      <c r="E677" s="3" t="s">
        <v>1126</v>
      </c>
      <c r="F677" s="3" t="s">
        <v>45</v>
      </c>
    </row>
    <row r="678" spans="1:6" ht="15.6" x14ac:dyDescent="0.3">
      <c r="A678" s="6" t="s">
        <v>450</v>
      </c>
      <c r="B678" s="6" t="s">
        <v>1128</v>
      </c>
      <c r="C678" s="2">
        <f>DATE(2025,5,15)+TIME(14,15,55)</f>
        <v>45792.594386574077</v>
      </c>
      <c r="D678" s="1" t="s">
        <v>72</v>
      </c>
      <c r="E678" s="1" t="s">
        <v>1018</v>
      </c>
      <c r="F678" s="1" t="s">
        <v>4</v>
      </c>
    </row>
    <row r="679" spans="1:6" ht="15.6" x14ac:dyDescent="0.3">
      <c r="A679" s="6" t="s">
        <v>1129</v>
      </c>
      <c r="B679" s="6" t="s">
        <v>566</v>
      </c>
      <c r="C679" s="4">
        <f>DATE(2025,5,15)+TIME(12,57,51)</f>
        <v>45792.540173611109</v>
      </c>
      <c r="D679" s="3" t="s">
        <v>117</v>
      </c>
      <c r="E679" s="3" t="s">
        <v>1130</v>
      </c>
      <c r="F679" s="3" t="s">
        <v>4</v>
      </c>
    </row>
    <row r="680" spans="1:6" ht="31.2" x14ac:dyDescent="0.3">
      <c r="A680" s="6" t="s">
        <v>1131</v>
      </c>
      <c r="B680" s="6" t="s">
        <v>1132</v>
      </c>
      <c r="C680" s="2">
        <f>DATE(2025,5,15)+TIME(12,8,52)</f>
        <v>45792.506157407406</v>
      </c>
      <c r="D680" s="1" t="s">
        <v>48</v>
      </c>
      <c r="E680" s="1" t="s">
        <v>1126</v>
      </c>
      <c r="F680" s="1" t="s">
        <v>159</v>
      </c>
    </row>
    <row r="681" spans="1:6" ht="31.2" x14ac:dyDescent="0.3">
      <c r="A681" s="6" t="s">
        <v>1133</v>
      </c>
      <c r="B681" s="6" t="s">
        <v>1134</v>
      </c>
      <c r="C681" s="4">
        <f>DATE(2025,5,15)+TIME(12,8,7)</f>
        <v>45792.505636574075</v>
      </c>
      <c r="D681" s="3" t="s">
        <v>48</v>
      </c>
      <c r="E681" s="3" t="s">
        <v>1126</v>
      </c>
      <c r="F681" s="3" t="s">
        <v>84</v>
      </c>
    </row>
    <row r="682" spans="1:6" ht="31.2" x14ac:dyDescent="0.3">
      <c r="A682" s="6" t="s">
        <v>438</v>
      </c>
      <c r="B682" s="6" t="s">
        <v>1135</v>
      </c>
      <c r="C682" s="2">
        <f>DATE(2025,5,15)+TIME(11,47,5)</f>
        <v>45792.491030092591</v>
      </c>
      <c r="D682" s="1" t="s">
        <v>48</v>
      </c>
      <c r="E682" s="1" t="s">
        <v>1126</v>
      </c>
      <c r="F682" s="1" t="s">
        <v>45</v>
      </c>
    </row>
    <row r="683" spans="1:6" ht="31.2" x14ac:dyDescent="0.3">
      <c r="A683" s="6" t="s">
        <v>415</v>
      </c>
      <c r="B683" s="6" t="s">
        <v>1136</v>
      </c>
      <c r="C683" s="4">
        <f>DATE(2025,5,15)+TIME(11,42,51)</f>
        <v>45792.48809027778</v>
      </c>
      <c r="D683" s="3" t="s">
        <v>48</v>
      </c>
      <c r="E683" s="3" t="s">
        <v>1126</v>
      </c>
      <c r="F683" s="3" t="s">
        <v>24</v>
      </c>
    </row>
    <row r="684" spans="1:6" ht="31.2" x14ac:dyDescent="0.3">
      <c r="A684" s="6" t="s">
        <v>955</v>
      </c>
      <c r="B684" s="6" t="s">
        <v>78</v>
      </c>
      <c r="C684" s="2">
        <f>DATE(2025,5,15)+TIME(11,35,42)</f>
        <v>45792.483124999999</v>
      </c>
      <c r="D684" s="1" t="s">
        <v>48</v>
      </c>
      <c r="E684" s="1" t="s">
        <v>1126</v>
      </c>
      <c r="F684" s="1" t="s">
        <v>172</v>
      </c>
    </row>
    <row r="685" spans="1:6" ht="31.2" x14ac:dyDescent="0.3">
      <c r="A685" s="6" t="s">
        <v>128</v>
      </c>
      <c r="B685" s="6" t="s">
        <v>1137</v>
      </c>
      <c r="C685" s="4">
        <f>DATE(2025,5,15)+TIME(11,14,22)</f>
        <v>45792.468310185184</v>
      </c>
      <c r="D685" s="3" t="s">
        <v>48</v>
      </c>
      <c r="E685" s="3" t="s">
        <v>1126</v>
      </c>
      <c r="F685" s="3" t="s">
        <v>154</v>
      </c>
    </row>
    <row r="686" spans="1:6" ht="31.2" x14ac:dyDescent="0.3">
      <c r="A686" s="6" t="s">
        <v>1138</v>
      </c>
      <c r="B686" s="6" t="s">
        <v>1139</v>
      </c>
      <c r="C686" s="2">
        <f>DATE(2025,5,14)+TIME(19,24,34)</f>
        <v>45791.80872685185</v>
      </c>
      <c r="D686" s="1" t="s">
        <v>48</v>
      </c>
      <c r="E686" s="1" t="s">
        <v>1126</v>
      </c>
      <c r="F686" s="1" t="s">
        <v>4</v>
      </c>
    </row>
    <row r="687" spans="1:6" ht="31.2" x14ac:dyDescent="0.3">
      <c r="A687" s="6" t="s">
        <v>1103</v>
      </c>
      <c r="B687" s="6" t="s">
        <v>1140</v>
      </c>
      <c r="C687" s="4">
        <f>DATE(2025,5,14)+TIME(15,55,50)</f>
        <v>45791.663773148146</v>
      </c>
      <c r="D687" s="3" t="s">
        <v>48</v>
      </c>
      <c r="E687" s="3" t="s">
        <v>1126</v>
      </c>
      <c r="F687" s="3" t="s">
        <v>19</v>
      </c>
    </row>
    <row r="688" spans="1:6" ht="15.6" x14ac:dyDescent="0.3">
      <c r="A688" s="6" t="s">
        <v>642</v>
      </c>
      <c r="B688" s="6" t="s">
        <v>1141</v>
      </c>
      <c r="C688" s="2">
        <f>DATE(2025,5,14)+TIME(12,38,39)</f>
        <v>45791.52684027778</v>
      </c>
      <c r="D688" s="1" t="s">
        <v>60</v>
      </c>
      <c r="E688" s="1" t="s">
        <v>103</v>
      </c>
      <c r="F688" s="1" t="s">
        <v>4</v>
      </c>
    </row>
    <row r="689" spans="1:6" ht="15.6" x14ac:dyDescent="0.3">
      <c r="A689" s="6" t="s">
        <v>1142</v>
      </c>
      <c r="B689" s="6" t="s">
        <v>1143</v>
      </c>
      <c r="C689" s="4">
        <f>DATE(2025,5,14)+TIME(11,54,47)</f>
        <v>45791.496377314812</v>
      </c>
      <c r="D689" s="3" t="s">
        <v>117</v>
      </c>
      <c r="E689" s="3" t="s">
        <v>1130</v>
      </c>
      <c r="F689" s="3" t="s">
        <v>4</v>
      </c>
    </row>
    <row r="690" spans="1:6" ht="15.6" x14ac:dyDescent="0.3">
      <c r="A690" s="6" t="s">
        <v>1144</v>
      </c>
      <c r="B690" s="6" t="s">
        <v>1145</v>
      </c>
      <c r="C690" s="2">
        <f>DATE(2025,5,13)+TIME(23,22,33)</f>
        <v>45790.973993055559</v>
      </c>
      <c r="D690" s="1" t="s">
        <v>48</v>
      </c>
      <c r="E690" s="1" t="s">
        <v>175</v>
      </c>
      <c r="F690" s="1" t="s">
        <v>4</v>
      </c>
    </row>
    <row r="691" spans="1:6" ht="15.6" x14ac:dyDescent="0.3">
      <c r="A691" s="6" t="s">
        <v>443</v>
      </c>
      <c r="B691" s="6" t="s">
        <v>1095</v>
      </c>
      <c r="C691" s="4">
        <f>DATE(2025,5,13)+TIME(13,4,25)</f>
        <v>45790.544733796298</v>
      </c>
      <c r="D691" s="3" t="s">
        <v>48</v>
      </c>
      <c r="E691" s="3" t="s">
        <v>175</v>
      </c>
      <c r="F691" s="3" t="s">
        <v>19</v>
      </c>
    </row>
    <row r="692" spans="1:6" ht="15.6" x14ac:dyDescent="0.3">
      <c r="A692" s="6" t="s">
        <v>164</v>
      </c>
      <c r="B692" s="6" t="s">
        <v>1146</v>
      </c>
      <c r="C692" s="2">
        <f>DATE(2025,5,13)+TIME(10,36,28)</f>
        <v>45790.441990740743</v>
      </c>
      <c r="D692" s="1" t="s">
        <v>48</v>
      </c>
      <c r="E692" s="1" t="s">
        <v>175</v>
      </c>
      <c r="F692" s="1" t="s">
        <v>263</v>
      </c>
    </row>
    <row r="693" spans="1:6" ht="15.6" x14ac:dyDescent="0.3">
      <c r="A693" s="6" t="s">
        <v>463</v>
      </c>
      <c r="B693" s="6" t="s">
        <v>1147</v>
      </c>
      <c r="C693" s="4">
        <f>DATE(2025,5,13)+TIME(7,50,41)</f>
        <v>45790.326863425929</v>
      </c>
      <c r="D693" s="3" t="s">
        <v>60</v>
      </c>
      <c r="E693" s="3" t="s">
        <v>103</v>
      </c>
      <c r="F693" s="3" t="s">
        <v>172</v>
      </c>
    </row>
    <row r="694" spans="1:6" ht="15.6" x14ac:dyDescent="0.3">
      <c r="A694" s="6" t="s">
        <v>1148</v>
      </c>
      <c r="B694" s="6" t="s">
        <v>732</v>
      </c>
      <c r="C694" s="2">
        <f>DATE(2025,5,12)+TIME(21,26,9)</f>
        <v>45789.893159722225</v>
      </c>
      <c r="D694" s="1" t="s">
        <v>72</v>
      </c>
      <c r="E694" s="1" t="s">
        <v>1018</v>
      </c>
      <c r="F694" s="1" t="s">
        <v>154</v>
      </c>
    </row>
    <row r="695" spans="1:6" ht="15.6" x14ac:dyDescent="0.3">
      <c r="A695" s="6" t="s">
        <v>79</v>
      </c>
      <c r="B695" s="6" t="s">
        <v>105</v>
      </c>
      <c r="C695" s="4">
        <f>DATE(2025,5,12)+TIME(16,25,58)</f>
        <v>45789.684699074074</v>
      </c>
      <c r="D695" s="3" t="s">
        <v>60</v>
      </c>
      <c r="E695" s="3" t="s">
        <v>103</v>
      </c>
      <c r="F695" s="3" t="s">
        <v>4</v>
      </c>
    </row>
    <row r="696" spans="1:6" ht="15.6" x14ac:dyDescent="0.3">
      <c r="A696" s="6" t="s">
        <v>500</v>
      </c>
      <c r="B696" s="6" t="s">
        <v>860</v>
      </c>
      <c r="C696" s="2">
        <f>DATE(2025,5,12)+TIME(15,26,22)</f>
        <v>45789.643310185187</v>
      </c>
      <c r="D696" s="1" t="s">
        <v>60</v>
      </c>
      <c r="E696" s="1" t="s">
        <v>103</v>
      </c>
      <c r="F696" s="1" t="s">
        <v>19</v>
      </c>
    </row>
    <row r="697" spans="1:6" ht="15.6" x14ac:dyDescent="0.3">
      <c r="A697" s="6" t="s">
        <v>415</v>
      </c>
      <c r="B697" s="6" t="s">
        <v>233</v>
      </c>
      <c r="C697" s="4">
        <f>DATE(2025,5,12)+TIME(15,15,15)</f>
        <v>45789.63559027778</v>
      </c>
      <c r="D697" s="3" t="s">
        <v>60</v>
      </c>
      <c r="E697" s="3" t="s">
        <v>103</v>
      </c>
      <c r="F697" s="3" t="s">
        <v>154</v>
      </c>
    </row>
    <row r="698" spans="1:6" ht="15.6" x14ac:dyDescent="0.3">
      <c r="A698" s="6" t="s">
        <v>25</v>
      </c>
      <c r="B698" s="6" t="s">
        <v>1149</v>
      </c>
      <c r="C698" s="2">
        <f>DATE(2025,5,6)+TIME(14,52,16)</f>
        <v>45783.619629629633</v>
      </c>
      <c r="D698" s="1" t="s">
        <v>48</v>
      </c>
      <c r="E698" s="1" t="s">
        <v>175</v>
      </c>
      <c r="F698" s="1" t="s">
        <v>4</v>
      </c>
    </row>
    <row r="699" spans="1:6" ht="15.6" x14ac:dyDescent="0.3">
      <c r="A699" s="6" t="s">
        <v>1150</v>
      </c>
      <c r="B699" s="6" t="s">
        <v>1151</v>
      </c>
      <c r="C699" s="4">
        <f>DATE(2025,5,6)+TIME(14,4,31)</f>
        <v>45783.586469907408</v>
      </c>
      <c r="D699" s="3" t="s">
        <v>117</v>
      </c>
      <c r="E699" s="3" t="s">
        <v>1130</v>
      </c>
      <c r="F699" s="3" t="s">
        <v>172</v>
      </c>
    </row>
    <row r="700" spans="1:6" ht="15.6" x14ac:dyDescent="0.3">
      <c r="A700" s="6" t="s">
        <v>25</v>
      </c>
      <c r="B700" s="6" t="s">
        <v>1152</v>
      </c>
      <c r="C700" s="2">
        <f>DATE(2025,5,6)+TIME(14,4,29)</f>
        <v>45783.586446759262</v>
      </c>
      <c r="D700" s="1" t="s">
        <v>117</v>
      </c>
      <c r="E700" s="1" t="s">
        <v>1130</v>
      </c>
      <c r="F700" s="1" t="s">
        <v>141</v>
      </c>
    </row>
    <row r="701" spans="1:6" ht="15.6" x14ac:dyDescent="0.3">
      <c r="A701" s="6" t="s">
        <v>459</v>
      </c>
      <c r="B701" s="6" t="s">
        <v>431</v>
      </c>
      <c r="C701" s="4">
        <f>DATE(2025,5,6)+TIME(14,2,38)</f>
        <v>45783.585162037038</v>
      </c>
      <c r="D701" s="3" t="s">
        <v>117</v>
      </c>
      <c r="E701" s="3" t="s">
        <v>1130</v>
      </c>
      <c r="F701" s="3" t="s">
        <v>130</v>
      </c>
    </row>
    <row r="702" spans="1:6" ht="15.6" x14ac:dyDescent="0.3">
      <c r="A702" s="6" t="s">
        <v>1153</v>
      </c>
      <c r="B702" s="6" t="s">
        <v>1154</v>
      </c>
      <c r="C702" s="2">
        <f>DATE(2025,5,6)+TIME(14,2,35)</f>
        <v>45783.585127314815</v>
      </c>
      <c r="D702" s="1" t="s">
        <v>117</v>
      </c>
      <c r="E702" s="1" t="s">
        <v>1130</v>
      </c>
      <c r="F702" s="1" t="s">
        <v>84</v>
      </c>
    </row>
    <row r="703" spans="1:6" ht="15.6" x14ac:dyDescent="0.3">
      <c r="A703" s="6" t="s">
        <v>110</v>
      </c>
      <c r="B703" s="6" t="s">
        <v>1155</v>
      </c>
      <c r="C703" s="4">
        <f>DATE(2025,5,6)+TIME(14,2,23)</f>
        <v>45783.584988425922</v>
      </c>
      <c r="D703" s="3" t="s">
        <v>117</v>
      </c>
      <c r="E703" s="3" t="s">
        <v>1130</v>
      </c>
      <c r="F703" s="3" t="s">
        <v>1156</v>
      </c>
    </row>
    <row r="704" spans="1:6" ht="15.6" x14ac:dyDescent="0.3">
      <c r="A704" s="6" t="s">
        <v>619</v>
      </c>
      <c r="B704" s="6" t="s">
        <v>1157</v>
      </c>
      <c r="C704" s="2">
        <f>DATE(2025,5,6)+TIME(14,2,22)</f>
        <v>45783.584976851853</v>
      </c>
      <c r="D704" s="1" t="s">
        <v>117</v>
      </c>
      <c r="E704" s="1" t="s">
        <v>1130</v>
      </c>
      <c r="F704" s="1" t="s">
        <v>4</v>
      </c>
    </row>
    <row r="705" spans="1:6" ht="15.6" x14ac:dyDescent="0.3">
      <c r="A705" s="6" t="s">
        <v>74</v>
      </c>
      <c r="B705" s="6" t="s">
        <v>1158</v>
      </c>
      <c r="C705" s="4">
        <f>DATE(2025,5,5)+TIME(14,16,43)</f>
        <v>45782.594942129632</v>
      </c>
      <c r="D705" s="3" t="s">
        <v>48</v>
      </c>
      <c r="E705" s="3" t="s">
        <v>175</v>
      </c>
      <c r="F705" s="3" t="s">
        <v>141</v>
      </c>
    </row>
    <row r="706" spans="1:6" ht="15.6" x14ac:dyDescent="0.3">
      <c r="A706" s="6" t="s">
        <v>62</v>
      </c>
      <c r="B706" s="6" t="s">
        <v>1159</v>
      </c>
      <c r="C706" s="2">
        <f>DATE(2025,5,5)+TIME(14,12,10)</f>
        <v>45782.591782407406</v>
      </c>
      <c r="D706" s="1" t="s">
        <v>72</v>
      </c>
      <c r="E706" s="1" t="s">
        <v>715</v>
      </c>
      <c r="F706" s="1" t="s">
        <v>19</v>
      </c>
    </row>
    <row r="707" spans="1:6" ht="15.6" x14ac:dyDescent="0.3">
      <c r="A707" s="6" t="s">
        <v>15</v>
      </c>
      <c r="B707" s="6" t="s">
        <v>1160</v>
      </c>
      <c r="C707" s="4">
        <f>DATE(2025,5,5)+TIME(13,58,24)</f>
        <v>45782.58222222222</v>
      </c>
      <c r="D707" s="3" t="s">
        <v>22</v>
      </c>
      <c r="E707" s="3" t="s">
        <v>69</v>
      </c>
      <c r="F707" s="3" t="s">
        <v>154</v>
      </c>
    </row>
    <row r="708" spans="1:6" ht="15.6" x14ac:dyDescent="0.3">
      <c r="A708" s="6" t="s">
        <v>1161</v>
      </c>
      <c r="B708" s="6" t="s">
        <v>1162</v>
      </c>
      <c r="C708" s="2">
        <f>DATE(2025,5,5)+TIME(12,21,10)</f>
        <v>45782.514699074076</v>
      </c>
      <c r="D708" s="1" t="s">
        <v>48</v>
      </c>
      <c r="E708" s="1" t="s">
        <v>175</v>
      </c>
      <c r="F708" s="1" t="s">
        <v>66</v>
      </c>
    </row>
    <row r="709" spans="1:6" ht="15.6" x14ac:dyDescent="0.3">
      <c r="A709" s="6" t="s">
        <v>384</v>
      </c>
      <c r="B709" s="6" t="s">
        <v>1163</v>
      </c>
      <c r="C709" s="4">
        <f>DATE(2025,5,4)+TIME(9,47,39)</f>
        <v>45781.408090277779</v>
      </c>
      <c r="D709" s="3" t="s">
        <v>117</v>
      </c>
      <c r="E709" s="3" t="s">
        <v>1130</v>
      </c>
      <c r="F709" s="3" t="s">
        <v>154</v>
      </c>
    </row>
    <row r="710" spans="1:6" ht="15.6" x14ac:dyDescent="0.3">
      <c r="A710" s="6" t="s">
        <v>1027</v>
      </c>
      <c r="B710" s="6" t="s">
        <v>1164</v>
      </c>
      <c r="C710" s="2">
        <f>DATE(2025,4,30)+TIME(15,12,29)</f>
        <v>45777.633668981478</v>
      </c>
      <c r="D710" s="1" t="s">
        <v>48</v>
      </c>
      <c r="E710" s="1" t="s">
        <v>175</v>
      </c>
      <c r="F710" s="1" t="s">
        <v>84</v>
      </c>
    </row>
    <row r="711" spans="1:6" ht="15.6" x14ac:dyDescent="0.3">
      <c r="A711" s="6" t="s">
        <v>932</v>
      </c>
      <c r="B711" s="6" t="s">
        <v>1165</v>
      </c>
      <c r="C711" s="4">
        <f>DATE(2025,4,29)+TIME(14,6,59)</f>
        <v>45776.588182870371</v>
      </c>
      <c r="D711" s="3" t="s">
        <v>48</v>
      </c>
      <c r="E711" s="3" t="s">
        <v>175</v>
      </c>
      <c r="F711" s="3" t="s">
        <v>159</v>
      </c>
    </row>
    <row r="712" spans="1:6" ht="15.6" x14ac:dyDescent="0.3">
      <c r="A712" s="6" t="s">
        <v>1166</v>
      </c>
      <c r="B712" s="6" t="s">
        <v>1167</v>
      </c>
      <c r="C712" s="2">
        <f>DATE(2025,4,29)+TIME(13,55,56)</f>
        <v>45776.580509259256</v>
      </c>
      <c r="D712" s="1" t="s">
        <v>48</v>
      </c>
      <c r="E712" s="1" t="s">
        <v>175</v>
      </c>
      <c r="F712" s="1" t="s">
        <v>4</v>
      </c>
    </row>
    <row r="713" spans="1:6" ht="15.6" x14ac:dyDescent="0.3">
      <c r="A713" s="6" t="s">
        <v>39</v>
      </c>
      <c r="B713" s="6" t="s">
        <v>233</v>
      </c>
      <c r="C713" s="4">
        <f>DATE(2025,4,29)+TIME(13,49,49)</f>
        <v>45776.576261574075</v>
      </c>
      <c r="D713" s="3" t="s">
        <v>48</v>
      </c>
      <c r="E713" s="3" t="s">
        <v>175</v>
      </c>
      <c r="F713" s="3" t="s">
        <v>24</v>
      </c>
    </row>
    <row r="714" spans="1:6" ht="15.6" x14ac:dyDescent="0.3">
      <c r="A714" s="6" t="s">
        <v>243</v>
      </c>
      <c r="B714" s="6" t="s">
        <v>1168</v>
      </c>
      <c r="C714" s="2">
        <f>DATE(2025,4,29)+TIME(13,47,59)</f>
        <v>45776.574988425928</v>
      </c>
      <c r="D714" s="1" t="s">
        <v>48</v>
      </c>
      <c r="E714" s="1" t="s">
        <v>175</v>
      </c>
      <c r="F714" s="1" t="s">
        <v>263</v>
      </c>
    </row>
    <row r="715" spans="1:6" ht="15.6" x14ac:dyDescent="0.3">
      <c r="A715" s="6" t="s">
        <v>1169</v>
      </c>
      <c r="B715" s="6" t="s">
        <v>1170</v>
      </c>
      <c r="C715" s="4">
        <f>DATE(2025,4,29)+TIME(13,41,47)</f>
        <v>45776.57068287037</v>
      </c>
      <c r="D715" s="3" t="s">
        <v>48</v>
      </c>
      <c r="E715" s="3" t="s">
        <v>175</v>
      </c>
      <c r="F715" s="3" t="s">
        <v>24</v>
      </c>
    </row>
    <row r="716" spans="1:6" ht="15.6" x14ac:dyDescent="0.3">
      <c r="A716" s="6" t="s">
        <v>1171</v>
      </c>
      <c r="B716" s="6" t="s">
        <v>1172</v>
      </c>
      <c r="C716" s="2">
        <f>DATE(2025,4,29)+TIME(13,39,58)</f>
        <v>45776.569421296299</v>
      </c>
      <c r="D716" s="1" t="s">
        <v>48</v>
      </c>
      <c r="E716" s="1" t="s">
        <v>175</v>
      </c>
      <c r="F716" s="1" t="s">
        <v>183</v>
      </c>
    </row>
    <row r="717" spans="1:6" ht="15.6" x14ac:dyDescent="0.3">
      <c r="A717" s="6" t="s">
        <v>1173</v>
      </c>
      <c r="B717" s="6" t="s">
        <v>1174</v>
      </c>
      <c r="C717" s="4">
        <f>DATE(2025,4,29)+TIME(13,33,43)</f>
        <v>45776.565081018518</v>
      </c>
      <c r="D717" s="3" t="s">
        <v>48</v>
      </c>
      <c r="E717" s="3" t="s">
        <v>175</v>
      </c>
      <c r="F717" s="3" t="s">
        <v>4</v>
      </c>
    </row>
    <row r="718" spans="1:6" ht="15.6" x14ac:dyDescent="0.3">
      <c r="A718" s="6" t="s">
        <v>871</v>
      </c>
      <c r="B718" s="6" t="s">
        <v>1175</v>
      </c>
      <c r="C718" s="2">
        <f>DATE(2025,4,29)+TIME(13,14,38)</f>
        <v>45776.551828703705</v>
      </c>
      <c r="D718" s="1" t="s">
        <v>48</v>
      </c>
      <c r="E718" s="1" t="s">
        <v>175</v>
      </c>
      <c r="F718" s="1" t="s">
        <v>172</v>
      </c>
    </row>
    <row r="719" spans="1:6" ht="15.6" x14ac:dyDescent="0.3">
      <c r="A719" s="6" t="s">
        <v>1176</v>
      </c>
      <c r="B719" s="6" t="s">
        <v>1177</v>
      </c>
      <c r="C719" s="4">
        <f>DATE(2025,4,29)+TIME(12,58,5)</f>
        <v>45776.540335648147</v>
      </c>
      <c r="D719" s="3" t="s">
        <v>48</v>
      </c>
      <c r="E719" s="3" t="s">
        <v>175</v>
      </c>
      <c r="F719" s="3" t="s">
        <v>263</v>
      </c>
    </row>
    <row r="720" spans="1:6" ht="15.6" x14ac:dyDescent="0.3">
      <c r="A720" s="6" t="s">
        <v>1178</v>
      </c>
      <c r="B720" s="6" t="s">
        <v>315</v>
      </c>
      <c r="C720" s="2">
        <f>DATE(2025,4,29)+TIME(12,53,22)</f>
        <v>45776.537060185183</v>
      </c>
      <c r="D720" s="1" t="s">
        <v>48</v>
      </c>
      <c r="E720" s="1" t="s">
        <v>175</v>
      </c>
      <c r="F720" s="1" t="s">
        <v>112</v>
      </c>
    </row>
    <row r="721" spans="1:6" ht="31.2" x14ac:dyDescent="0.3">
      <c r="A721" s="6" t="s">
        <v>93</v>
      </c>
      <c r="B721" s="6" t="s">
        <v>1179</v>
      </c>
      <c r="C721" s="4">
        <f>DATE(2025,4,29)+TIME(12,49,47)</f>
        <v>45776.534571759257</v>
      </c>
      <c r="D721" s="3" t="s">
        <v>48</v>
      </c>
      <c r="E721" s="3" t="s">
        <v>175</v>
      </c>
      <c r="F721" s="3" t="s">
        <v>57</v>
      </c>
    </row>
    <row r="722" spans="1:6" ht="15.6" x14ac:dyDescent="0.3">
      <c r="A722" s="6" t="s">
        <v>1180</v>
      </c>
      <c r="B722" s="6" t="s">
        <v>1181</v>
      </c>
      <c r="C722" s="2">
        <f>DATE(2025,4,29)+TIME(12,44,7)</f>
        <v>45776.530636574076</v>
      </c>
      <c r="D722" s="1" t="s">
        <v>48</v>
      </c>
      <c r="E722" s="1" t="s">
        <v>175</v>
      </c>
      <c r="F722" s="1" t="s">
        <v>45</v>
      </c>
    </row>
    <row r="723" spans="1:6" ht="15.6" x14ac:dyDescent="0.3">
      <c r="A723" s="6" t="s">
        <v>655</v>
      </c>
      <c r="B723" s="6" t="s">
        <v>1182</v>
      </c>
      <c r="C723" s="4">
        <f>DATE(2025,4,29)+TIME(12,39,5)</f>
        <v>45776.527141203704</v>
      </c>
      <c r="D723" s="3" t="s">
        <v>48</v>
      </c>
      <c r="E723" s="3" t="s">
        <v>175</v>
      </c>
      <c r="F723" s="3" t="s">
        <v>263</v>
      </c>
    </row>
    <row r="724" spans="1:6" ht="15.6" x14ac:dyDescent="0.3">
      <c r="A724" s="6" t="s">
        <v>54</v>
      </c>
      <c r="B724" s="6" t="s">
        <v>1183</v>
      </c>
      <c r="C724" s="2">
        <f>DATE(2025,4,29)+TIME(12,30,52)</f>
        <v>45776.521435185183</v>
      </c>
      <c r="D724" s="1" t="s">
        <v>48</v>
      </c>
      <c r="E724" s="1" t="s">
        <v>175</v>
      </c>
      <c r="F724" s="1" t="s">
        <v>648</v>
      </c>
    </row>
    <row r="725" spans="1:6" ht="15.6" x14ac:dyDescent="0.3">
      <c r="A725" s="6" t="s">
        <v>54</v>
      </c>
      <c r="B725" s="6" t="s">
        <v>1184</v>
      </c>
      <c r="C725" s="4">
        <f>DATE(2025,4,29)+TIME(12,22,51)</f>
        <v>45776.515868055554</v>
      </c>
      <c r="D725" s="3" t="s">
        <v>48</v>
      </c>
      <c r="E725" s="3" t="s">
        <v>175</v>
      </c>
      <c r="F725" s="3" t="s">
        <v>24</v>
      </c>
    </row>
    <row r="726" spans="1:6" ht="15.6" x14ac:dyDescent="0.3">
      <c r="A726" s="6" t="s">
        <v>1185</v>
      </c>
      <c r="B726" s="6" t="s">
        <v>1186</v>
      </c>
      <c r="C726" s="2">
        <f>DATE(2025,4,29)+TIME(12,17,0)</f>
        <v>45776.511805555558</v>
      </c>
      <c r="D726" s="1" t="s">
        <v>48</v>
      </c>
      <c r="E726" s="1" t="s">
        <v>175</v>
      </c>
      <c r="F726" s="1" t="s">
        <v>263</v>
      </c>
    </row>
    <row r="727" spans="1:6" ht="15.6" x14ac:dyDescent="0.3">
      <c r="A727" s="6" t="s">
        <v>1187</v>
      </c>
      <c r="B727" s="6" t="s">
        <v>1188</v>
      </c>
      <c r="C727" s="4">
        <f>DATE(2025,4,29)+TIME(12,16,30)</f>
        <v>45776.511458333334</v>
      </c>
      <c r="D727" s="3" t="s">
        <v>48</v>
      </c>
      <c r="E727" s="3" t="s">
        <v>175</v>
      </c>
      <c r="F727" s="3" t="s">
        <v>4</v>
      </c>
    </row>
    <row r="728" spans="1:6" ht="15.6" x14ac:dyDescent="0.3">
      <c r="A728" s="6" t="s">
        <v>1189</v>
      </c>
      <c r="B728" s="6" t="s">
        <v>1190</v>
      </c>
      <c r="C728" s="2">
        <f>DATE(2025,4,29)+TIME(11,24,10)</f>
        <v>45776.475115740737</v>
      </c>
      <c r="D728" s="1" t="s">
        <v>48</v>
      </c>
      <c r="E728" s="1" t="s">
        <v>175</v>
      </c>
      <c r="F728" s="1" t="s">
        <v>154</v>
      </c>
    </row>
    <row r="729" spans="1:6" ht="15.6" x14ac:dyDescent="0.3">
      <c r="A729" s="6" t="s">
        <v>459</v>
      </c>
      <c r="B729" s="6" t="s">
        <v>1191</v>
      </c>
      <c r="C729" s="4">
        <f>DATE(2025,4,28)+TIME(20,2,9)</f>
        <v>45775.834826388891</v>
      </c>
      <c r="D729" s="3" t="s">
        <v>87</v>
      </c>
      <c r="E729" s="3" t="s">
        <v>88</v>
      </c>
      <c r="F729" s="3" t="s">
        <v>154</v>
      </c>
    </row>
    <row r="730" spans="1:6" ht="15.6" x14ac:dyDescent="0.3">
      <c r="A730" s="6" t="s">
        <v>424</v>
      </c>
      <c r="B730" s="6" t="s">
        <v>1192</v>
      </c>
      <c r="C730" s="2">
        <f>DATE(2025,4,28)+TIME(14,55,13)</f>
        <v>45775.621678240743</v>
      </c>
      <c r="D730" s="1" t="s">
        <v>87</v>
      </c>
      <c r="E730" s="1" t="s">
        <v>88</v>
      </c>
      <c r="F730" s="1" t="s">
        <v>19</v>
      </c>
    </row>
  </sheetData>
  <pageMargins left="0.75" right="0.75" top="1" bottom="1" header="0.5" footer="0.5"/>
  <pageSetup orientation="portrait"/>
  <headerFooter alignWithMargins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Answer Details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Samantha Anderson</cp:lastModifiedBy>
  <dcterms:created xsi:type="dcterms:W3CDTF">2025-07-28T14:12:33Z</dcterms:created>
  <dcterms:modified xsi:type="dcterms:W3CDTF">2025-07-28T14:12:33Z</dcterms:modified>
  <cp:category/>
  <cp:contentStatus/>
</cp:coreProperties>
</file>